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icOer46/V3zEXDJ9k1dW+5MFNMMut9nVrhk6pb07SO715xouJLDgl6NpdkNjJDsiLpmd2CDvA7YBMF398Neww==" workbookSaltValue="tynv5bKh1jZZwCpMoDOt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A19" i="8" l="1"/>
  <c r="F17" i="16"/>
  <c r="BL17" i="16" s="1"/>
  <c r="AM19" i="8"/>
  <c r="AC19" i="8"/>
  <c r="AK19" i="8"/>
  <c r="AI19" i="8"/>
  <c r="BG12" i="8"/>
  <c r="R19" i="8"/>
  <c r="T19" i="8"/>
  <c r="BG10" i="8"/>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AP10" i="21"/>
  <c r="BM12" i="11"/>
  <c r="V10" i="16"/>
  <c r="L17" i="2"/>
  <c r="BK10" i="11"/>
  <c r="BM9" i="11"/>
  <c r="BG16" i="11"/>
  <c r="BK16" i="11"/>
  <c r="R11" i="14"/>
  <c r="BL15" i="11"/>
  <c r="P15" i="17"/>
  <c r="T16" i="11"/>
  <c r="AA15" i="16"/>
  <c r="BV9" i="16"/>
  <c r="BU17" i="17"/>
  <c r="BU9" i="17"/>
  <c r="BV15" i="16"/>
  <c r="BV16" i="16"/>
  <c r="BW9" i="20"/>
  <c r="AP17" i="20"/>
  <c r="BH17" i="11"/>
  <c r="BG9" i="11"/>
  <c r="R10" i="21"/>
  <c r="R13" i="21" s="1"/>
  <c r="V9" i="11"/>
  <c r="AA16" i="16"/>
  <c r="C12" i="14"/>
  <c r="K12" i="14" s="1"/>
  <c r="F17" i="17"/>
  <c r="AQ17" i="17" s="1"/>
  <c r="E12" i="6"/>
  <c r="AY13" i="13"/>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K10"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<sst xmlns="http://schemas.openxmlformats.org/spreadsheetml/2006/main" count="2094" uniqueCount="913">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</sst>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f/QviPpHmu3ZNo0cnQbfmEkmGlqnkHFR3rP+/a4P5yGy9gwUuyKHMlqMr9atYXalYbVZpcelnlskddOnqU/Q==" saltValue="aAYkUe75jO2pbylqX7To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v>
      </c>
      <c r="F10" s="229">
        <f>IF(ISNUMBER(Datos!K10),Datos!K10," - ")</f>
        <v>3</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26.621673003802282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468</v>
      </c>
      <c r="D16" s="228">
        <f>IF(ISNUMBER(IF(D_I="SI",Datos!I16,Datos!I16+Datos!AC16)),IF(D_I="SI",Datos!I16,Datos!I16+Datos!AC16)," - ")</f>
        <v>468</v>
      </c>
      <c r="E16" s="229">
        <f>IF(ISNUMBER(IF(D_I="SI",Datos!J16,Datos!J16+Datos!AD16)),IF(D_I="SI",Datos!J16,Datos!J16+Datos!AD16)," - ")</f>
        <v>265</v>
      </c>
      <c r="F16" s="229">
        <f>IF(ISNUMBER(IF(D_I="SI",Datos!K16,Datos!K16+Datos!AE16)),IF(D_I="SI",Datos!K16,Datos!K16+Datos!AE16)," - ")</f>
        <v>333</v>
      </c>
      <c r="G16" s="1037" t="str">
        <f>IF(Datos!E16&lt;&gt;"",Datos!E16,Datos!D16)</f>
        <v>04</v>
      </c>
      <c r="H16" s="230">
        <f>IF(ISNUMBER(IF(D_I="SI",Datos!L16,Datos!L16+Datos!AF16)),IF(D_I="SI",Datos!L16,Datos!L16+Datos!AF16)," - ")</f>
        <v>400</v>
      </c>
      <c r="I16" s="1047" t="str">
        <f>IF(ISNUMBER(Datos!AS16/Datos!BM16),Datos!AS16/Datos!BM16," - ")</f>
        <v xml:space="preserve"> - </v>
      </c>
      <c r="J16" s="1048">
        <f>IF(ISNUMBER(Datos!BY16/Datos!CN16),Datos!BY16/Datos!CN16," - ")</f>
        <v>0</v>
      </c>
      <c r="K16" s="233">
        <f t="shared" si="3"/>
        <v>-0.14529914529914531</v>
      </c>
      <c r="L16" s="1028">
        <f>IF(ISNUMBER(NºAsuntos!I16/NºAsuntos!G16),(NºAsuntos!I16/NºAsuntos!G16)*11," - ")</f>
        <v>13.213213213213214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20</v>
      </c>
      <c r="F17" s="229">
        <f>IF(ISNUMBER(IF(D_I="SI",Datos!K17,Datos!K17+Datos!AE17)),IF(D_I="SI",Datos!K17,Datos!K17+Datos!AE17)," - ")</f>
        <v>50</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-0.76923076923076927</v>
      </c>
      <c r="L17" s="1028">
        <f>IF(ISNUMBER(NºAsuntos!I17/NºAsuntos!G17),(NºAsuntos!I17/NºAsuntos!G17)*11," - ")</f>
        <v>1.98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507</v>
      </c>
      <c r="D18" s="1052">
        <f>SUBTOTAL(9,D15:D17)</f>
        <v>507</v>
      </c>
      <c r="E18" s="1053">
        <f>SUBTOTAL(9,E15:E17)</f>
        <v>285</v>
      </c>
      <c r="F18" s="1053">
        <f>SUBTOTAL(9,F15:F17)</f>
        <v>383</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514</v>
      </c>
      <c r="D19" s="1074">
        <f>SUBTOTAL(9,D9:D18)</f>
        <v>514</v>
      </c>
      <c r="E19" s="1075">
        <f>SUBTOTAL(9,E9:E18)</f>
        <v>286</v>
      </c>
      <c r="F19" s="1075">
        <f>SUBTOTAL(9,F9:F18)</f>
        <v>386</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c6oVDAdf72M0304h9gGbv32RyeWLJb9KDmZzdhrO05rNb3GUOSECpPj1BtldHq8CzL+jniT2YVAkg1GlCaLJw==" saltValue="8xZSQhk/rBajZzLej/Y/F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1GvzVnC2HDcalxWiMoHgcgE/3f/EknmpBUjkK6PLGNmCLk+TfSSxiukAwvZqc6sPC5FZQC1MXzyMn6IaeFG5g==" saltValue="7CjAQOq3UrCHjPlmf7hj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1</v>
      </c>
      <c r="K10" s="184">
        <v>3</v>
      </c>
      <c r="L10" s="184">
        <v>5</v>
      </c>
      <c r="M10" s="184">
        <v>0</v>
      </c>
      <c r="N10" s="184">
        <v>3</v>
      </c>
      <c r="O10" s="184">
        <v>0</v>
      </c>
      <c r="P10" s="184">
        <v>0</v>
      </c>
      <c r="Q10" s="184">
        <v>0</v>
      </c>
      <c r="R10" s="184">
        <v>3</v>
      </c>
      <c r="S10" s="184">
        <v>8</v>
      </c>
      <c r="T10" s="184">
        <v>2</v>
      </c>
      <c r="U10" s="184">
        <v>2</v>
      </c>
      <c r="V10" s="184">
        <v>8</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2</v>
      </c>
      <c r="BA10" s="129">
        <f t="shared" si="0"/>
        <v>2</v>
      </c>
      <c r="BB10" s="129">
        <f t="shared" si="0"/>
        <v>8</v>
      </c>
      <c r="BC10" s="125">
        <f t="shared" si="0"/>
        <v>1</v>
      </c>
      <c r="BD10" s="126">
        <f>IF(ISNUMBER(BA10/AZ10),BA10/AZ10," - ")</f>
        <v>1</v>
      </c>
      <c r="BE10" s="127">
        <f>IF(ISNUMBER(BB10/BA10),BB10/BA10, " - ")</f>
        <v>4</v>
      </c>
      <c r="BF10" s="127">
        <f>IF(ISNUMBER(BC10/BA10),BC10/BA10, " - ")</f>
        <v>0.5</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1332</v>
      </c>
      <c r="J12" s="186">
        <v>517</v>
      </c>
      <c r="K12" s="186">
        <v>480</v>
      </c>
      <c r="L12" s="186">
        <v>1256</v>
      </c>
      <c r="M12" s="186">
        <v>158</v>
      </c>
      <c r="N12" s="186">
        <v>198</v>
      </c>
      <c r="O12" s="184">
        <v>189</v>
      </c>
      <c r="P12" s="186">
        <v>95</v>
      </c>
      <c r="Q12" s="186">
        <v>176</v>
      </c>
      <c r="R12" s="186">
        <v>1602</v>
      </c>
      <c r="S12" s="186">
        <v>1000</v>
      </c>
      <c r="T12" s="186">
        <v>445</v>
      </c>
      <c r="U12" s="186">
        <v>317</v>
      </c>
      <c r="V12" s="186">
        <v>1128</v>
      </c>
      <c r="W12" s="186">
        <v>110</v>
      </c>
      <c r="X12" s="192">
        <v>154</v>
      </c>
      <c r="Y12" s="194">
        <v>43</v>
      </c>
      <c r="Z12" s="184">
        <v>20</v>
      </c>
      <c r="AA12" s="184">
        <v>46</v>
      </c>
      <c r="AB12" s="184">
        <v>17</v>
      </c>
      <c r="AC12" s="186">
        <v>0</v>
      </c>
      <c r="AD12" s="186">
        <v>0</v>
      </c>
      <c r="AE12" s="186">
        <v>0</v>
      </c>
      <c r="AF12" s="192">
        <v>0</v>
      </c>
      <c r="AG12" s="205">
        <v>41</v>
      </c>
      <c r="AH12" s="186">
        <v>33</v>
      </c>
      <c r="AI12" s="186">
        <v>41</v>
      </c>
      <c r="AJ12" s="206">
        <v>33</v>
      </c>
      <c r="AK12" s="185">
        <v>0</v>
      </c>
      <c r="AL12" s="186">
        <v>0</v>
      </c>
      <c r="AM12" s="186">
        <v>0</v>
      </c>
      <c r="AN12" s="192">
        <v>0</v>
      </c>
      <c r="AO12" s="262">
        <v>2</v>
      </c>
      <c r="AP12" s="158">
        <v>2</v>
      </c>
      <c r="AQ12" s="158">
        <v>2</v>
      </c>
      <c r="AR12" s="157">
        <v>2</v>
      </c>
      <c r="AS12" s="343" t="s">
        <v>807</v>
      </c>
      <c r="AT12" s="206"/>
      <c r="AU12" s="205"/>
      <c r="AV12" s="206"/>
      <c r="AW12" s="205"/>
      <c r="AX12" s="206"/>
      <c r="AY12" s="126">
        <f t="shared" si="1"/>
        <v>1041</v>
      </c>
      <c r="AZ12" s="127">
        <f t="shared" si="1"/>
        <v>478</v>
      </c>
      <c r="BA12" s="127">
        <f t="shared" si="1"/>
        <v>358</v>
      </c>
      <c r="BB12" s="127">
        <f t="shared" si="1"/>
        <v>1161</v>
      </c>
      <c r="BC12" s="125">
        <f>IF(ISNUMBER(X12),X12," - ")</f>
        <v>154</v>
      </c>
      <c r="BD12" s="126">
        <f t="shared" si="2"/>
        <v>0.7489539748953975</v>
      </c>
      <c r="BE12" s="127">
        <f t="shared" si="3"/>
        <v>3.2430167597765363</v>
      </c>
      <c r="BF12" s="127">
        <f t="shared" si="4"/>
        <v>0.43016759776536312</v>
      </c>
      <c r="BG12" s="199">
        <f t="shared" si="5"/>
        <v>4.2430167597765367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1339</v>
      </c>
      <c r="J13" s="187">
        <f t="shared" si="6"/>
        <v>518</v>
      </c>
      <c r="K13" s="187">
        <f t="shared" si="6"/>
        <v>483</v>
      </c>
      <c r="L13" s="187">
        <f t="shared" si="6"/>
        <v>1261</v>
      </c>
      <c r="M13" s="187">
        <f t="shared" si="6"/>
        <v>158</v>
      </c>
      <c r="N13" s="187">
        <f t="shared" si="6"/>
        <v>201</v>
      </c>
      <c r="O13" s="187">
        <f t="shared" si="6"/>
        <v>189</v>
      </c>
      <c r="P13" s="187">
        <f t="shared" si="6"/>
        <v>95</v>
      </c>
      <c r="Q13" s="187">
        <f t="shared" si="6"/>
        <v>176</v>
      </c>
      <c r="R13" s="187">
        <f t="shared" si="6"/>
        <v>1605</v>
      </c>
      <c r="S13" s="187">
        <f t="shared" si="6"/>
        <v>1008</v>
      </c>
      <c r="T13" s="187">
        <f t="shared" si="6"/>
        <v>447</v>
      </c>
      <c r="U13" s="187">
        <f t="shared" si="6"/>
        <v>319</v>
      </c>
      <c r="V13" s="187">
        <f t="shared" si="6"/>
        <v>1136</v>
      </c>
      <c r="W13" s="187">
        <f t="shared" si="6"/>
        <v>111</v>
      </c>
      <c r="X13" s="187">
        <f t="shared" si="6"/>
        <v>155</v>
      </c>
      <c r="Y13" s="187">
        <f t="shared" si="6"/>
        <v>43</v>
      </c>
      <c r="Z13" s="187">
        <f t="shared" si="6"/>
        <v>20</v>
      </c>
      <c r="AA13" s="187">
        <f t="shared" si="6"/>
        <v>46</v>
      </c>
      <c r="AB13" s="187">
        <f t="shared" si="6"/>
        <v>17</v>
      </c>
      <c r="AC13" s="187">
        <f t="shared" si="6"/>
        <v>0</v>
      </c>
      <c r="AD13" s="187">
        <f t="shared" si="6"/>
        <v>0</v>
      </c>
      <c r="AE13" s="187">
        <f t="shared" si="6"/>
        <v>0</v>
      </c>
      <c r="AF13" s="187">
        <f>SUBTOTAL(9,AF9:AF12)</f>
        <v>0</v>
      </c>
      <c r="AG13" s="187">
        <f t="shared" ref="AG13:AT13" si="7">SUBTOTAL(9,AG8:AG12)</f>
        <v>41</v>
      </c>
      <c r="AH13" s="187">
        <f t="shared" si="7"/>
        <v>33</v>
      </c>
      <c r="AI13" s="187">
        <f t="shared" si="7"/>
        <v>41</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1049</v>
      </c>
      <c r="AZ13" s="187">
        <f>SUBTOTAL(9,AZ8:AZ12)</f>
        <v>480</v>
      </c>
      <c r="BA13" s="187">
        <f>SUBTOTAL(9,BA8:BA12)</f>
        <v>360</v>
      </c>
      <c r="BB13" s="187">
        <f>SUBTOTAL(9,BB8:BB12)</f>
        <v>1169</v>
      </c>
      <c r="BC13" s="187">
        <f>SUBTOTAL(9,BC8:BC12)</f>
        <v>155</v>
      </c>
      <c r="BD13" s="208">
        <f>IF(ISNUMBER(BA13/AZ13),BA13/AZ13," - ")</f>
        <v>0.75</v>
      </c>
      <c r="BE13" s="209">
        <f>IF(ISNUMBER(BB13/BA13),BB13/BA13, " - ")</f>
        <v>3.2472222222222222</v>
      </c>
      <c r="BF13" s="209">
        <f>IF(ISNUMBER(BC13/BA13),BC13/BA13, " - ")</f>
        <v>0.43055555555555558</v>
      </c>
      <c r="BG13" s="210">
        <f>IF(ISNUMBER((AY13+AZ13)/BA13),(AY13+AZ13)/BA13," - ")</f>
        <v>4.2472222222222218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468</v>
      </c>
      <c r="J16" s="186">
        <v>265</v>
      </c>
      <c r="K16" s="186">
        <v>333</v>
      </c>
      <c r="L16" s="186">
        <v>400</v>
      </c>
      <c r="M16" s="186">
        <v>61</v>
      </c>
      <c r="N16" s="186">
        <v>177</v>
      </c>
      <c r="O16" s="184">
        <v>0</v>
      </c>
      <c r="P16" s="186">
        <v>17</v>
      </c>
      <c r="Q16" s="186">
        <v>7</v>
      </c>
      <c r="R16" s="186">
        <v>59</v>
      </c>
      <c r="S16" s="186">
        <v>374</v>
      </c>
      <c r="T16" s="186">
        <v>310</v>
      </c>
      <c r="U16" s="186">
        <v>287</v>
      </c>
      <c r="V16" s="186">
        <v>397</v>
      </c>
      <c r="W16" s="186">
        <v>46</v>
      </c>
      <c r="X16" s="192">
        <v>151</v>
      </c>
      <c r="Y16" s="205">
        <v>0</v>
      </c>
      <c r="Z16" s="186">
        <v>0</v>
      </c>
      <c r="AA16" s="186">
        <v>0</v>
      </c>
      <c r="AB16" s="186">
        <v>0</v>
      </c>
      <c r="AC16" s="186">
        <v>1</v>
      </c>
      <c r="AD16" s="186">
        <v>0</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374</v>
      </c>
      <c r="AZ16" s="127">
        <f t="shared" si="9"/>
        <v>310</v>
      </c>
      <c r="BA16" s="127">
        <f t="shared" si="9"/>
        <v>287</v>
      </c>
      <c r="BB16" s="127">
        <f t="shared" si="9"/>
        <v>397</v>
      </c>
      <c r="BC16" s="125">
        <f>IF(ISNUMBER(W16),W16," - ")</f>
        <v>46</v>
      </c>
      <c r="BD16" s="126">
        <f t="shared" ref="BD16" si="11">IF(ISNUMBER(BA16/AZ16),BA16/AZ16," - ")</f>
        <v>0.9258064516129032</v>
      </c>
      <c r="BE16" s="127">
        <f t="shared" ref="BE16" si="12">IF(ISNUMBER(BB16/BA16),BB16/BA16, " - ")</f>
        <v>1.3832752613240418</v>
      </c>
      <c r="BF16" s="127">
        <f t="shared" ref="BF16" si="13">IF(ISNUMBER(BC16/BA16),BC16/BA16, " - ")</f>
        <v>0.16027874564459929</v>
      </c>
      <c r="BG16" s="199">
        <f t="shared" si="10"/>
        <v>2.3832752613240418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v>
      </c>
      <c r="J17" s="186">
        <v>20</v>
      </c>
      <c r="K17" s="186">
        <v>50</v>
      </c>
      <c r="L17" s="186">
        <v>9</v>
      </c>
      <c r="M17" s="186">
        <v>1</v>
      </c>
      <c r="N17" s="186">
        <v>41</v>
      </c>
      <c r="O17" s="186">
        <v>0</v>
      </c>
      <c r="P17" s="186">
        <v>0</v>
      </c>
      <c r="Q17" s="186">
        <v>0</v>
      </c>
      <c r="R17" s="186">
        <v>4</v>
      </c>
      <c r="S17" s="186">
        <v>52</v>
      </c>
      <c r="T17" s="186">
        <v>26</v>
      </c>
      <c r="U17" s="186">
        <v>31</v>
      </c>
      <c r="V17" s="186">
        <v>47</v>
      </c>
      <c r="W17" s="186">
        <v>12</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52</v>
      </c>
      <c r="AZ17" s="129">
        <f t="shared" si="14"/>
        <v>26</v>
      </c>
      <c r="BA17" s="129">
        <f t="shared" si="14"/>
        <v>31</v>
      </c>
      <c r="BB17" s="129">
        <f t="shared" si="14"/>
        <v>47</v>
      </c>
      <c r="BC17" s="125">
        <f>IF(ISNUMBER(W17),W17," - ")</f>
        <v>12</v>
      </c>
      <c r="BD17" s="126">
        <f>IF(ISNUMBER(BA17/AZ17),BA17/AZ17," - ")</f>
        <v>1.1923076923076923</v>
      </c>
      <c r="BE17" s="127">
        <f>IF(ISNUMBER(BB17/BA17),BB17/BA17, " - ")</f>
        <v>1.5161290322580645</v>
      </c>
      <c r="BF17" s="127">
        <f>IF(ISNUMBER(BC17/BA17),BC17/BA17, " - ")</f>
        <v>0.38709677419354838</v>
      </c>
      <c r="BG17" s="199">
        <f>IF(ISNUMBER((AY17+AZ17)/BA17),(AY17+AZ17)/BA17," - ")</f>
        <v>2.5161290322580645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507</v>
      </c>
      <c r="J18" s="187">
        <f t="shared" si="15"/>
        <v>285</v>
      </c>
      <c r="K18" s="187">
        <f t="shared" si="15"/>
        <v>383</v>
      </c>
      <c r="L18" s="187">
        <f t="shared" si="15"/>
        <v>409</v>
      </c>
      <c r="M18" s="187">
        <f t="shared" si="15"/>
        <v>62</v>
      </c>
      <c r="N18" s="187">
        <f t="shared" si="15"/>
        <v>218</v>
      </c>
      <c r="O18" s="187">
        <f t="shared" si="15"/>
        <v>0</v>
      </c>
      <c r="P18" s="187">
        <f t="shared" si="15"/>
        <v>17</v>
      </c>
      <c r="Q18" s="187">
        <f t="shared" si="15"/>
        <v>7</v>
      </c>
      <c r="R18" s="187">
        <f t="shared" si="15"/>
        <v>63</v>
      </c>
      <c r="S18" s="187">
        <f t="shared" si="15"/>
        <v>426</v>
      </c>
      <c r="T18" s="187">
        <f t="shared" si="15"/>
        <v>336</v>
      </c>
      <c r="U18" s="187">
        <f t="shared" si="15"/>
        <v>318</v>
      </c>
      <c r="V18" s="187">
        <f t="shared" si="15"/>
        <v>444</v>
      </c>
      <c r="W18" s="187">
        <f t="shared" si="15"/>
        <v>58</v>
      </c>
      <c r="X18" s="187">
        <f t="shared" si="15"/>
        <v>177</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426</v>
      </c>
      <c r="AZ18" s="187">
        <f>SUBTOTAL(9,AZ14:AZ17)</f>
        <v>336</v>
      </c>
      <c r="BA18" s="187">
        <f>SUBTOTAL(9,BA14:BA17)</f>
        <v>318</v>
      </c>
      <c r="BB18" s="187">
        <f>SUBTOTAL(9,BB14:BB17)</f>
        <v>444</v>
      </c>
      <c r="BC18" s="187">
        <f>SUBTOTAL(9,BC14:BC17)</f>
        <v>58</v>
      </c>
      <c r="BD18" s="208">
        <f>IF(ISNUMBER(BA18/AZ18),BA18/AZ18," - ")</f>
        <v>0.9464285714285714</v>
      </c>
      <c r="BE18" s="209">
        <f>IF(ISNUMBER(BB18/BA18),BB18/BA18, " - ")</f>
        <v>1.3962264150943395</v>
      </c>
      <c r="BF18" s="209">
        <f>IF(ISNUMBER(BC18/BA18),BC18/BA18, " - ")</f>
        <v>0.18238993710691823</v>
      </c>
      <c r="BG18" s="210">
        <f>IF(ISNUMBER((AY18+AZ18)/BA18),(AY18+AZ18)/BA18," - ")</f>
        <v>2.3962264150943398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1846</v>
      </c>
      <c r="J19" s="134">
        <f t="shared" si="18"/>
        <v>803</v>
      </c>
      <c r="K19" s="134">
        <f t="shared" si="18"/>
        <v>866</v>
      </c>
      <c r="L19" s="134">
        <f t="shared" si="18"/>
        <v>1670</v>
      </c>
      <c r="M19" s="134">
        <f t="shared" si="18"/>
        <v>220</v>
      </c>
      <c r="N19" s="134">
        <f t="shared" si="18"/>
        <v>419</v>
      </c>
      <c r="O19" s="134">
        <f t="shared" si="18"/>
        <v>189</v>
      </c>
      <c r="P19" s="134">
        <f t="shared" si="18"/>
        <v>112</v>
      </c>
      <c r="Q19" s="134">
        <f t="shared" si="18"/>
        <v>183</v>
      </c>
      <c r="R19" s="134">
        <f t="shared" si="18"/>
        <v>1668</v>
      </c>
      <c r="S19" s="134">
        <f t="shared" si="18"/>
        <v>1434</v>
      </c>
      <c r="T19" s="134">
        <f t="shared" si="18"/>
        <v>783</v>
      </c>
      <c r="U19" s="134">
        <f t="shared" si="18"/>
        <v>637</v>
      </c>
      <c r="V19" s="134">
        <f t="shared" si="18"/>
        <v>1580</v>
      </c>
      <c r="W19" s="134">
        <f t="shared" si="18"/>
        <v>169</v>
      </c>
      <c r="X19" s="134">
        <f t="shared" si="18"/>
        <v>332</v>
      </c>
      <c r="Y19" s="134">
        <f t="shared" si="18"/>
        <v>43</v>
      </c>
      <c r="Z19" s="134">
        <f t="shared" si="18"/>
        <v>20</v>
      </c>
      <c r="AA19" s="134">
        <f t="shared" si="18"/>
        <v>46</v>
      </c>
      <c r="AB19" s="134">
        <f t="shared" si="18"/>
        <v>17</v>
      </c>
      <c r="AC19" s="134">
        <f t="shared" si="18"/>
        <v>1</v>
      </c>
      <c r="AD19" s="134">
        <f t="shared" si="18"/>
        <v>0</v>
      </c>
      <c r="AE19" s="134">
        <f t="shared" si="18"/>
        <v>1</v>
      </c>
      <c r="AF19" s="134">
        <f t="shared" si="18"/>
        <v>0</v>
      </c>
      <c r="AG19" s="134">
        <f t="shared" si="18"/>
        <v>41</v>
      </c>
      <c r="AH19" s="134">
        <f t="shared" si="18"/>
        <v>33</v>
      </c>
      <c r="AI19" s="134">
        <f t="shared" si="18"/>
        <v>41</v>
      </c>
      <c r="AJ19" s="134">
        <f t="shared" si="18"/>
        <v>33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1475</v>
      </c>
      <c r="AZ19" s="134">
        <f>SUBTOTAL(9,AZ9:AZ18)</f>
        <v>816</v>
      </c>
      <c r="BA19" s="134">
        <f>SUBTOTAL(9,BA9:BA18)</f>
        <v>678</v>
      </c>
      <c r="BB19" s="134">
        <f>SUBTOTAL(9,BB9:BB18)</f>
        <v>1613</v>
      </c>
      <c r="BC19" s="135">
        <f>SUBTOTAL(9,BC9:BC18)</f>
        <v>213</v>
      </c>
      <c r="BD19" s="216">
        <f>IF(ISNUMBER(BA19/AZ19),BA19/AZ19," - ")</f>
        <v>0.83088235294117652</v>
      </c>
      <c r="BE19" s="213">
        <f>IF(ISNUMBER(BB19/BA19),BB19/BA19, " - ")</f>
        <v>2.3790560471976403</v>
      </c>
      <c r="BF19" s="213">
        <f>IF(ISNUMBER(BC19/BA19),BC19/BA19, " - ")</f>
        <v>0.31415929203539822</v>
      </c>
      <c r="BG19" s="135">
        <f>IF(ISNUMBER((AY19+AZ19)/BA19),(AY19+AZ19)/BA19," - ")</f>
        <v>3.3790560471976403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5Bsh8lgxqsZK1fhXN7WEc/XLJyIJ8LYOP66Bhe7uGVqgQ5uHd4DnXm+XVbTbT4w/nu2QRcCH1GrF+xzLWllGg==" saltValue="FeC/V9tOEHTDLaIOjPV/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m5ZKggfQcr99VGuv8tI2dPgoWShlPqMKHQoEk5QGna/ucmwB90Kddb3l5jK7OGE30Je0OYH1Qo7XyYVzqDPcw==" saltValue="nKApY0p2W54d4orI/+fw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REDONDELA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5</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3</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5.0000000000000009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1602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158</v>
      </c>
      <c r="BD12" s="232">
        <f>IF(ISNUMBER(Datos!N12),Datos!N12," - ")</f>
        <v>198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0.97951582867783982</v>
      </c>
      <c r="BH12" s="263">
        <f>IF(ISNUMBER(((IF(J_V="SI",Datos!L12/Datos!K12,(Datos!L12+Datos!AB12)/(Datos!K12+Datos!AA12)))*11)/factor_trimestre),((IF(J_V="SI",Datos!L12/Datos!K12,(Datos!L12+Datos!AB12)/(Datos!K12+Datos!AA12)))*11)/factor_trimestre," - ")</f>
        <v>7.2604562737642588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-4.8128342245989303E-2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176</v>
      </c>
      <c r="AD13" s="902">
        <f t="shared" si="1"/>
        <v>0</v>
      </c>
      <c r="AE13" s="902">
        <f t="shared" si="1"/>
        <v>0</v>
      </c>
      <c r="AF13" s="902">
        <f t="shared" si="1"/>
        <v>5</v>
      </c>
      <c r="AG13" s="902">
        <f t="shared" si="1"/>
        <v>0</v>
      </c>
      <c r="AH13" s="902">
        <f t="shared" si="1"/>
        <v>17</v>
      </c>
      <c r="AI13" s="902">
        <f t="shared" si="1"/>
        <v>0</v>
      </c>
      <c r="AJ13" s="902">
        <f t="shared" si="1"/>
        <v>0</v>
      </c>
      <c r="AK13" s="902">
        <f t="shared" si="1"/>
        <v>0</v>
      </c>
      <c r="AL13" s="902">
        <f t="shared" si="1"/>
        <v>0</v>
      </c>
      <c r="AM13" s="902">
        <f t="shared" si="1"/>
        <v>1605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158</v>
      </c>
      <c r="BD13" s="902">
        <f t="shared" si="1"/>
        <v>201</v>
      </c>
      <c r="BE13" s="902">
        <f t="shared" si="1"/>
        <v>0</v>
      </c>
      <c r="BF13" s="902">
        <f t="shared" si="1"/>
        <v>0</v>
      </c>
      <c r="BG13" s="902">
        <f>IF(ISNUMBER(Datos!K13/Datos!J13),Datos!K13/Datos!J13," - ")</f>
        <v>0.93243243243243246</v>
      </c>
      <c r="BH13" s="906">
        <f>IF(ISNUMBER(((Datos!L13/Datos!K13)*11)/factor_trimestre),((Datos!L13/Datos!K13)*11)/factor_trimestre," - ")</f>
        <v>7.8322981366459627</v>
      </c>
      <c r="BI13" s="902">
        <f>IF(ISNUMBER('Resol  Asuntos'!D13/NºAsuntos!G13),'Resol  Asuntos'!D13/NºAsuntos!G13," - ")</f>
        <v>0.29867674858223064</v>
      </c>
      <c r="BJ13" s="902" t="str">
        <f>IF(ISNUMBER(Datos!CI13/Datos!CJ13),Datos!CI13/Datos!CJ13," - ")</f>
        <v xml:space="preserve"> - </v>
      </c>
      <c r="BK13" s="902">
        <f>SUBTOTAL(9,BK8:BK12)</f>
        <v>0</v>
      </c>
      <c r="BL13" s="902">
        <f>IF(ISNUMBER((I13-AB13+L13)/(F13)),(I13-AB13+L13)/(F13)," - ")</f>
        <v>-0.42857142857142855</v>
      </c>
      <c r="BM13" s="907">
        <f>SUBTOTAL(9,BM9:BM12)</f>
        <v>-4.8128342245989303E-2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468</v>
      </c>
      <c r="G16" s="601">
        <f>IF(ISNUMBER(IF(D_I="SI",Datos!I16,Datos!I16+Datos!AC16)),IF(D_I="SI",Datos!I16,Datos!I16+Datos!AC16)," - ")</f>
        <v>468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333</v>
      </c>
      <c r="AC16" s="229">
        <f>IF(ISNUMBER(Datos!Q16),Datos!Q16," - ")</f>
        <v>7</v>
      </c>
      <c r="AD16" s="337"/>
      <c r="AE16" s="487"/>
      <c r="AF16" s="599">
        <f>IF(ISNUMBER(IF(D_I="SI",Datos!L16,Datos!L16+Datos!AF16)),IF(D_I="SI",Datos!L16,Datos!L16+Datos!AF16)," - ")</f>
        <v>400</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61</v>
      </c>
      <c r="BD16" s="232">
        <f>IF(ISNUMBER(Datos!N16),Datos!N16," - ")</f>
        <v>177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1.2566037735849056</v>
      </c>
      <c r="BH16" s="263">
        <f>IF(ISNUMBER(((IF(D_I="SI",Datos!L16/Datos!K16,(Datos!L16+Datos!AF16)/(Datos!K16+Datos!AE16)))*11)/factor_trimestre),((IF(D_I="SI",Datos!L16/Datos!K16,(Datos!L16+Datos!AF16)/(Datos!K16+Datos!AE16)))*11)/factor_trimestre," - ")</f>
        <v>3.6036036036036041</v>
      </c>
      <c r="BI16" s="246">
        <f>IF(ISNUMBER('Resol  Asuntos'!D16/NºAsuntos!G16),'Resol  Asuntos'!D16/NºAsuntos!G16," - ")</f>
        <v>0.18318318318318319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v>
      </c>
      <c r="AC17" s="229">
        <f>IF(ISNUMBER(Datos!Q17),Datos!Q17," - ")</f>
        <v>0</v>
      </c>
      <c r="AD17" s="337"/>
      <c r="AE17" s="487"/>
      <c r="AF17" s="335">
        <f>IF(ISNUMBER(Datos!L17),Datos!L17,"-")</f>
        <v>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2.5</v>
      </c>
      <c r="BH17" s="263">
        <f>IF(ISNUMBER(((IF(D_I="SI",Datos!L17/Datos!K17,(Datos!L17+Datos!AF17)/(Datos!K17+Datos!AE17)))*11)/factor_trimestre),((IF(D_I="SI",Datos!L17/Datos!K17,(Datos!L17+Datos!AF17)/(Datos!K17+Datos!AE17)))*11)/factor_trimestre," - ")</f>
        <v>0.54</v>
      </c>
      <c r="BI17" s="246">
        <f>IF(ISNUMBER('Resol  Asuntos'!D17/NºAsuntos!G17),'Resol  Asuntos'!D17/NºAsuntos!G17," - ")</f>
        <v>0.02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468</v>
      </c>
      <c r="G18" s="901">
        <f>SUBTOTAL(9,G15:G17)</f>
        <v>507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383</v>
      </c>
      <c r="AC18" s="902">
        <f t="shared" si="4"/>
        <v>7</v>
      </c>
      <c r="AD18" s="902">
        <f t="shared" si="4"/>
        <v>0</v>
      </c>
      <c r="AE18" s="902">
        <f t="shared" si="4"/>
        <v>0</v>
      </c>
      <c r="AF18" s="902">
        <f t="shared" si="4"/>
        <v>409</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v>
      </c>
      <c r="BD18" s="902">
        <f t="shared" si="4"/>
        <v>218</v>
      </c>
      <c r="BE18" s="902">
        <f t="shared" si="4"/>
        <v>0</v>
      </c>
      <c r="BF18" s="902">
        <f t="shared" si="4"/>
        <v>0</v>
      </c>
      <c r="BG18" s="902">
        <f>IF(ISNUMBER(Datos!K18/Datos!J18),Datos!K18/Datos!J18," - ")</f>
        <v>1.343859649122807</v>
      </c>
      <c r="BH18" s="906">
        <f>IF(ISNUMBER(((Datos!L18/Datos!K18)*11)/factor_trimestre),((Datos!L18/Datos!K18)*11)/factor_trimestre," - ")</f>
        <v>3.2036553524804177</v>
      </c>
      <c r="BI18" s="902">
        <f>SUBTOTAL(9,BI15:BI17)</f>
        <v>0.20318318318318318</v>
      </c>
      <c r="BJ18" s="902">
        <f>SUBTOTAL(9,BJ15:BJ17)</f>
        <v>0</v>
      </c>
      <c r="BK18" s="902">
        <f>SUBTOTAL(9,BK15:BK17)</f>
        <v>0</v>
      </c>
      <c r="BL18" s="902">
        <f>IF(ISNUMBER((I18-AB18+L18)/(F18)),(I18-AB18+L18)/(F18)," - ")</f>
        <v>-0.81837606837606836</v>
      </c>
      <c r="BM18" s="908">
        <f>IF(ISNUMBER((Datos!P18-Datos!Q18)/(Datos!R18-Datos!P18+Datos!Q18)),(Datos!P18-Datos!Q18)/(Datos!R18-Datos!P18+Datos!Q18)," - ")</f>
        <v>0.18867924528301888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475</v>
      </c>
      <c r="G19" s="823">
        <f t="shared" si="6"/>
        <v>514</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112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386</v>
      </c>
      <c r="AC19" s="824">
        <f t="shared" si="7"/>
        <v>183</v>
      </c>
      <c r="AD19" s="824">
        <f t="shared" si="7"/>
        <v>0</v>
      </c>
      <c r="AE19" s="824">
        <f t="shared" si="7"/>
        <v>0</v>
      </c>
      <c r="AF19" s="831">
        <f t="shared" si="7"/>
        <v>414</v>
      </c>
      <c r="AG19" s="831">
        <f t="shared" si="7"/>
        <v>0</v>
      </c>
      <c r="AH19" s="831">
        <f t="shared" si="7"/>
        <v>17</v>
      </c>
      <c r="AI19" s="831">
        <f t="shared" si="7"/>
        <v>0</v>
      </c>
      <c r="AJ19" s="824">
        <f t="shared" si="7"/>
        <v>0</v>
      </c>
      <c r="AK19" s="831">
        <f t="shared" si="7"/>
        <v>0</v>
      </c>
      <c r="AL19" s="831">
        <f t="shared" si="7"/>
        <v>0</v>
      </c>
      <c r="AM19" s="831">
        <f t="shared" si="7"/>
        <v>1668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220</v>
      </c>
      <c r="BD19" s="823">
        <f t="shared" si="7"/>
        <v>419</v>
      </c>
      <c r="BE19" s="823">
        <f t="shared" si="7"/>
        <v>0</v>
      </c>
      <c r="BF19" s="833">
        <f t="shared" si="7"/>
        <v>0</v>
      </c>
      <c r="BG19" s="918">
        <f>IF(ISNUMBER(Datos!K19/Datos!J19),Datos!K19/Datos!J19," - ")</f>
        <v>1.078455790784558</v>
      </c>
      <c r="BH19" s="918">
        <f>IF(ISNUMBER(((Datos!L19/Datos!K19)*11)/factor_trimestre),((Datos!L19/Datos!K19)*11)/factor_trimestre," - ")</f>
        <v>5.7852193995381072</v>
      </c>
      <c r="BI19" s="816">
        <f>IF(ISNUMBER(Datos!J19/Datos!I19),Datos!J19/Datos!I19," - ")</f>
        <v>0.43499458288190684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-0.81263157894736837</v>
      </c>
      <c r="BM19" s="892">
        <f>IF(ISNUMBER((Datos!P19-Datos!Q19+R19)/(Datos!R19-Datos!P19+Datos!Q19-R19)),(Datos!P19-Datos!Q19+R19)/(Datos!R19-Datos!P19+Datos!Q19-R19)," - ")</f>
        <v>-4.082806210465785E-2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266.15847409641748</v>
      </c>
      <c r="G21" s="555">
        <f>IF(ISNUMBER(STDEV(G8:G18)),STDEV(G8:G18),"-")</f>
        <v>258.03836923992526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187.68271097786285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71.031448434244012</v>
      </c>
      <c r="BD21" s="554"/>
      <c r="BE21" s="554">
        <f>IF(ISNUMBER(STDEV(BE8:BE18)),STDEV(BE8:BE18),"-")</f>
        <v>0</v>
      </c>
      <c r="BF21" s="559">
        <f>IF(ISNUMBER(STDEV(BF8:BF18)),STDEV(BF8:BF18),"-")</f>
        <v>0</v>
      </c>
      <c r="BG21" s="778">
        <f>IF(ISNUMBER(STDEV(BG8:BG18)),STDEV(BG8:BG18),"-")</f>
        <v>0.86669818033362811</v>
      </c>
      <c r="BH21" s="779">
        <f>IF(ISNUMBER(STDEV(BH8:BH18)),STDEV(BH8:BH18),"-")</f>
        <v>2.7242502465217155</v>
      </c>
      <c r="BI21" s="252">
        <f>IF(ISNUMBER(STDEV(BI8:BI18)),STDEV(BI8:BI18),"-")</f>
        <v>0.11572357320949846</v>
      </c>
      <c r="BJ21" s="233" t="str">
        <f>IF(ISNUMBER(BL21/BM21),BL21/BM21," - ")</f>
        <v xml:space="preserve"> - </v>
      </c>
      <c r="BK21" s="578"/>
      <c r="BL21" s="562">
        <f>IF(ISNUMBER(STDEV(BL8:BL18)),STDEV(BL8:BL18),"-")</f>
        <v>0.27563350414384041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td30+fP8XZ9Ff+y3EbP8/e2jMxEJJzfhMlO5T/Hn2GNs3BTKsY81EPy3Udri20LpFMDO7y+XlUFVpKVe52GLw==" saltValue="hE9eLza0Aw7bSQXXED+X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REDONDELA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5</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5.0000000000000009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176</v>
      </c>
      <c r="AA12" s="335" t="str">
        <f>IF(ISNUMBER(IF(J_V="SI",Datos!L12,Datos!L12+Datos!AB12)-IF(Monitorios="SI",Datos!CD12,0)),
                          IF(J_V="SI",Datos!L12,Datos!L12+Datos!AB12)-IF(Monitorios="SI",Datos!CD12,0),
                          " - ")</f>
        <v xml:space="preserve"> - </v>
      </c>
      <c r="AB12" s="337"/>
      <c r="AC12" s="337"/>
      <c r="AD12" s="487"/>
      <c r="AE12" s="487">
        <f>IF(ISNUMBER(Datos!R12),Datos!R12," - ")</f>
        <v>1602</v>
      </c>
      <c r="AF12" s="232" t="str">
        <f>IF(ISNUMBER(Datos!BV12),Datos!BV12," - ")</f>
        <v xml:space="preserve"> - </v>
      </c>
      <c r="AG12" s="228" t="str">
        <f>IF(ISNUMBER(Datos!DV12),Datos!DV12," - ")</f>
        <v xml:space="preserve"> - </v>
      </c>
      <c r="AH12" s="301"/>
      <c r="AI12" s="230"/>
      <c r="AJ12" s="228">
        <f>IF(ISNUMBER(Datos!M12),Datos!M12," - ")</f>
        <v>158</v>
      </c>
      <c r="AK12" s="232">
        <f>IF(ISNUMBER(Datos!N12),Datos!N12," - ")</f>
        <v>198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7.2604562737642588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-4.8128342245989303E-2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176</v>
      </c>
      <c r="AA13" s="903">
        <f t="shared" si="2"/>
        <v>5</v>
      </c>
      <c r="AB13" s="903">
        <f t="shared" si="2"/>
        <v>0</v>
      </c>
      <c r="AC13" s="903">
        <f t="shared" si="2"/>
        <v>0</v>
      </c>
      <c r="AD13" s="903">
        <f t="shared" si="2"/>
        <v>0</v>
      </c>
      <c r="AE13" s="903">
        <f t="shared" si="2"/>
        <v>1605</v>
      </c>
      <c r="AF13" s="911">
        <f t="shared" si="2"/>
        <v>0</v>
      </c>
      <c r="AG13" s="911">
        <f t="shared" si="2"/>
        <v>0</v>
      </c>
      <c r="AH13" s="911">
        <f t="shared" si="2"/>
        <v>0</v>
      </c>
      <c r="AI13" s="911">
        <f t="shared" si="2"/>
        <v>0</v>
      </c>
      <c r="AJ13" s="911">
        <f t="shared" si="2"/>
        <v>158</v>
      </c>
      <c r="AK13" s="911">
        <f t="shared" si="2"/>
        <v>201</v>
      </c>
      <c r="AL13" s="911">
        <f t="shared" si="2"/>
        <v>0</v>
      </c>
      <c r="AM13" s="911">
        <f t="shared" si="2"/>
        <v>0</v>
      </c>
      <c r="AN13" s="911">
        <f t="shared" si="2"/>
        <v>0</v>
      </c>
      <c r="AO13" s="907">
        <f>IF(ISNUMBER(((NºAsuntos!I13/NºAsuntos!G13)*11)/factor_trimestre),((NºAsuntos!I13/NºAsuntos!G13)*11)/factor_trimestre," - ")</f>
        <v>7.247637051039697</v>
      </c>
      <c r="AP13" s="913" t="str">
        <f>IF(ISNUMBER(Datos!CI13/Datos!CJ13),Datos!CI13/Datos!CJ13," - ")</f>
        <v xml:space="preserve"> - </v>
      </c>
      <c r="AQ13" s="931">
        <f t="shared" ref="AQ13:AV13" si="3">SUBTOTAL(9,AQ9:AQ12)</f>
        <v>0</v>
      </c>
      <c r="AR13" s="931">
        <f t="shared" si="3"/>
        <v>-4.8128342245989303E-2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468</v>
      </c>
      <c r="G16" s="228">
        <f>IF(ISNUMBER(IF(D_I="SI",Datos!I16,Datos!I16+Datos!AC16)),IF(D_I="SI",Datos!I16,Datos!I16+Datos!AC16)," - ")</f>
        <v>468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333</v>
      </c>
      <c r="Z16" s="622">
        <f>IF(ISNUMBER(Datos!Q16),Datos!Q16," - ")</f>
        <v>7</v>
      </c>
      <c r="AA16" s="335">
        <f>IF(ISNUMBER(IF(D_I="SI",Datos!L16,Datos!L16+Datos!AF16)),IF(D_I="SI",Datos!L16,Datos!L16+Datos!AF16)," - ")</f>
        <v>400</v>
      </c>
      <c r="AB16" s="337"/>
      <c r="AC16" s="337"/>
      <c r="AD16" s="487"/>
      <c r="AE16" s="487">
        <f>IF(ISNUMBER(Datos!R16),Datos!R16," - ")</f>
        <v>59</v>
      </c>
      <c r="AF16" s="232" t="str">
        <f>IF(ISNUMBER(Datos!BV16),Datos!BV16," - ")</f>
        <v xml:space="preserve"> - </v>
      </c>
      <c r="AG16" s="228"/>
      <c r="AH16" s="301"/>
      <c r="AI16" s="230"/>
      <c r="AJ16" s="228">
        <f>IF(ISNUMBER(Datos!M16),Datos!M16," - ")</f>
        <v>61</v>
      </c>
      <c r="AK16" s="232">
        <f>IF(ISNUMBER(Datos!N16),Datos!N16," - ")</f>
        <v>177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3.6036036036036041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v>
      </c>
      <c r="Z17" s="622">
        <f>IF(ISNUMBER(Datos!Q17),Datos!Q17," - ")</f>
        <v>0</v>
      </c>
      <c r="AA17" s="335">
        <f>IF(ISNUMBER(Datos!L17),Datos!L17,"-")</f>
        <v>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468</v>
      </c>
      <c r="G18" s="901">
        <f>SUBTOTAL(9,G15:G17)</f>
        <v>507</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383</v>
      </c>
      <c r="Z18" s="935">
        <f t="shared" si="5"/>
        <v>7</v>
      </c>
      <c r="AA18" s="935">
        <f t="shared" si="5"/>
        <v>409</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62</v>
      </c>
      <c r="AK18" s="935">
        <f t="shared" si="5"/>
        <v>218</v>
      </c>
      <c r="AL18" s="935">
        <f t="shared" si="5"/>
        <v>0</v>
      </c>
      <c r="AM18" s="935">
        <f t="shared" si="5"/>
        <v>0</v>
      </c>
      <c r="AN18" s="935">
        <f t="shared" si="5"/>
        <v>0</v>
      </c>
      <c r="AO18" s="937">
        <f>IF(ISNUMBER(((NºAsuntos!I18/NºAsuntos!G18)*11)/factor_trimestre),((NºAsuntos!I18/NºAsuntos!G18)*11)/factor_trimestre," - ")</f>
        <v>3.2036553524804177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475</v>
      </c>
      <c r="G19" s="823">
        <f t="shared" si="7"/>
        <v>514</v>
      </c>
      <c r="H19" s="824">
        <f t="shared" si="7"/>
        <v>0</v>
      </c>
      <c r="I19" s="823">
        <f t="shared" si="7"/>
        <v>0</v>
      </c>
      <c r="J19" s="825">
        <f t="shared" si="7"/>
        <v>0</v>
      </c>
      <c r="K19" s="823">
        <f t="shared" si="7"/>
        <v>0</v>
      </c>
      <c r="L19" s="826">
        <f t="shared" si="7"/>
        <v>0</v>
      </c>
      <c r="M19" s="823">
        <f t="shared" si="7"/>
        <v>0</v>
      </c>
      <c r="N19" s="824">
        <f t="shared" si="7"/>
        <v>112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386</v>
      </c>
      <c r="Z19" s="830">
        <f t="shared" si="8"/>
        <v>183</v>
      </c>
      <c r="AA19" s="831">
        <f t="shared" si="8"/>
        <v>414</v>
      </c>
      <c r="AB19" s="831">
        <f t="shared" si="8"/>
        <v>0</v>
      </c>
      <c r="AC19" s="831">
        <f t="shared" si="8"/>
        <v>0</v>
      </c>
      <c r="AD19" s="832">
        <f t="shared" si="8"/>
        <v>0</v>
      </c>
      <c r="AE19" s="832">
        <f t="shared" si="8"/>
        <v>1668</v>
      </c>
      <c r="AF19" s="833">
        <f t="shared" si="8"/>
        <v>0</v>
      </c>
      <c r="AG19" s="834">
        <f t="shared" si="8"/>
        <v>0</v>
      </c>
      <c r="AH19" s="835">
        <f t="shared" si="8"/>
        <v>0</v>
      </c>
      <c r="AI19" s="833">
        <f t="shared" si="8"/>
        <v>0</v>
      </c>
      <c r="AJ19" s="823">
        <f t="shared" si="8"/>
        <v>220</v>
      </c>
      <c r="AK19" s="823">
        <f t="shared" si="8"/>
        <v>419</v>
      </c>
      <c r="AL19" s="823">
        <f t="shared" si="8"/>
        <v>0</v>
      </c>
      <c r="AM19" s="836">
        <f t="shared" si="8"/>
        <v>0</v>
      </c>
      <c r="AN19" s="826">
        <f>IF(ISNUMBER(Datos!K19/Datos!J19),Datos!K19/Datos!J19," - ")</f>
        <v>1.078455790784558</v>
      </c>
      <c r="AO19" s="826">
        <f>IF(ISNUMBER(FIND("06",Criterios!A8,1)),(IF(ISNUMBER(((Datos!R19/Datos!Q19)*11)/factor_trimestre),((Datos!R19/Datos!Q19)*11)/factor_trimestre," - ")),(IF(ISNUMBER(((Datos!L19/Datos!K19)*11)/factor_trimestre),((Datos!L19/Datos!K19)*11)/factor_trimestre," - ")))</f>
        <v>5.7852193995381072</v>
      </c>
      <c r="AP19" s="837" t="str">
        <f>IF(ISNUMBER(Datos!CI19/Datos!CJ19),Datos!CI19/Datos!CJ19," - ")</f>
        <v xml:space="preserve"> - </v>
      </c>
      <c r="AQ19" s="837">
        <f>IF(OR(ISNUMBER(FIND("01",Criterios!A8,1)),ISNUMBER(FIND("02",Criterios!A8,1)),ISNUMBER(FIND("03",Criterios!A8,1)),ISNUMBER(FIND("04",Criterios!A8,1))),(J19-Y19+K19)/(F19-K19),(I19-Y19+K19)/(F19-K19))</f>
        <v>-0.81263157894736837</v>
      </c>
      <c r="AR19" s="837">
        <f>IF(ISNUMBER((Datos!P19-Datos!Q19+O19)/(Datos!R19-Datos!P19+Datos!Q19-O19)),(Datos!P19-Datos!Q19+O19)/(Datos!R19-Datos!P19+Datos!Q19-O19)," - ")</f>
        <v>-4.082806210465785E-2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266.15847409641748</v>
      </c>
      <c r="G21" s="555">
        <f>IF(ISNUMBER(STDEV(G8:G18)),STDEV(G8:G18),"-")</f>
        <v>258.03836923992526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71.031448434244012</v>
      </c>
      <c r="AK21" s="255"/>
      <c r="AL21" s="255">
        <f>IF(ISNUMBER(STDEV(AL8:AL18)),STDEV(AL8:AL18),"-")</f>
        <v>0</v>
      </c>
      <c r="AM21" s="257">
        <f>IF(ISNUMBER(STDEV(AM8:AM18)),STDEV(AM8:AM18),"-")</f>
        <v>0</v>
      </c>
      <c r="AN21" s="542">
        <f>IF(ISNUMBER(STDEV(AN8:AN18)),STDEV(AN8:AN18),"-")</f>
        <v>0</v>
      </c>
      <c r="AO21" s="543">
        <f>IF(ISNUMBER(STDEV(AO8:AO18)),STDEV(AO8:AO18),"-")</f>
        <v>2.5915932160659376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DnEt9q0RTwOcAScsDeItcybRQgmgkttanOm/UVTiNLj4Ju4pku4Xam96YEz9AsuFh57JY1IytVy2uCrI94SuQ==" saltValue="J1GSgzcOG69Ic8fxcxQe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qxxXpbtAgg5/i3AkFJV7XR5sKsUxPAG0MIfocrc2EZu/S2naUnJZ9oeD18tcm3sL4IFnCk6GSF6ioPci6K82A==" saltValue="NqWRfZDEzwI00byvI296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Pqad4BOvNLuowNrN+mRBBJjvOecugkCTEYxf6zJG1Z5rIt6ATeO0rZxZN8DsUMlea9zUbv4u+R0l6o3xUDzRw==" saltValue="D2VWdIRLDolIvzLxOlKI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REDONDELA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0.29867674858223064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0.21119635430524483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jSY3FnOeab67XwKlRfu1feC0q+OJlmT5o5qr8l3A+29gOJFlZd7CWdS4NNc4AsKU6efD0yzKJR8Aj/maHskzg==" saltValue="/khmefIUOknYB8BtWshI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HhOmOz0rcHGa7E0waXLb6sVq29dbZ50uGNsjVlxLNupF7EPkGf/vnEikNl99FeWx3Lp7abwhjExp9yvGDbCFQ==" saltValue="JSdY6r4QlpQ5HDMx+jDn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REDONDELA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v>
      </c>
      <c r="F10" s="407">
        <f>IF(ISNUMBER(E10/B10),E10/B10," - ")</f>
        <v>1</v>
      </c>
      <c r="G10" s="406">
        <f>IF(ISNUMBER(Datos!K10),Datos!K10," - ")</f>
        <v>3</v>
      </c>
      <c r="H10" s="407">
        <f>IF(ISNUMBER(G10/B10),G10/B10," - ")</f>
        <v>3</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1375</v>
      </c>
      <c r="D12" s="407">
        <f>IF(ISNUMBER(C12/Datos!BH12),C12/Datos!BH12," - ")</f>
        <v>687.5</v>
      </c>
      <c r="E12" s="406">
        <f>IF(ISNUMBER(IF(J_V="SI",Datos!J12,Datos!J12+Datos!Z12)),IF(J_V="SI",Datos!J12,Datos!J12+Datos!Z12)," - ")</f>
        <v>537</v>
      </c>
      <c r="F12" s="407">
        <f>IF(ISNUMBER(E12/B12),E12/B12," - ")</f>
        <v>268.5</v>
      </c>
      <c r="G12" s="406">
        <f>IF(ISNUMBER(IF(J_V="SI",Datos!K12,Datos!K12+Datos!AA12)),IF(J_V="SI",Datos!K12,Datos!K12+Datos!AA12)," - ")</f>
        <v>526</v>
      </c>
      <c r="H12" s="407">
        <f>IF(ISNUMBER(G12/B12),G12/B12," - ")</f>
        <v>263</v>
      </c>
      <c r="I12" s="406">
        <f>IF(ISNUMBER(IF(J_V="SI",Datos!L12,Datos!L12+Datos!AB12)),IF(J_V="SI",Datos!L12,Datos!L12+Datos!AB12)," - ")</f>
        <v>1273</v>
      </c>
      <c r="J12" s="407">
        <f>IF(ISNUMBER(I12/B12),I12/B12," - ")</f>
        <v>636.5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1382</v>
      </c>
      <c r="D13" s="853" t="str">
        <f>IF(ISNUMBER(C13/Datos!BI13),C13/Datos!BI13," - ")</f>
        <v xml:space="preserve"> - </v>
      </c>
      <c r="E13" s="852">
        <f>SUBTOTAL(9,E8:E12)</f>
        <v>538</v>
      </c>
      <c r="F13" s="853">
        <f>IF(ISNUMBER(E13/B13),E13/B13," - ")</f>
        <v>269</v>
      </c>
      <c r="G13" s="852">
        <f>SUBTOTAL(9,G8:G12)</f>
        <v>529</v>
      </c>
      <c r="H13" s="853">
        <f>IF(ISNUMBER(G13/B13),G13/B13," - ")</f>
        <v>264.5</v>
      </c>
      <c r="I13" s="852">
        <f>SUBTOTAL(9,I8:I12)</f>
        <v>1278</v>
      </c>
      <c r="J13" s="853">
        <f>IF(ISNUMBER(I13/B13),I13/B13," - ")</f>
        <v>639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468</v>
      </c>
      <c r="D16" s="407">
        <f>IF(ISNUMBER(C16/Datos!BH16),C16/Datos!BH16," - ")</f>
        <v>234</v>
      </c>
      <c r="E16" s="406">
        <f>IF(ISNUMBER(IF(D_I="SI",Datos!J16,Datos!J16+Datos!AD16)),IF(D_I="SI",Datos!J16,Datos!J16+Datos!AD16)," - ")</f>
        <v>265</v>
      </c>
      <c r="F16" s="407">
        <f>IF(ISNUMBER(E16/B16),E16/B16," - ")</f>
        <v>132.5</v>
      </c>
      <c r="G16" s="406">
        <f>IF(ISNUMBER(IF(D_I="SI",Datos!K16,Datos!K16+Datos!AE16)),IF(D_I="SI",Datos!K16,Datos!K16+Datos!AE16)," - ")</f>
        <v>333</v>
      </c>
      <c r="H16" s="407">
        <f>IF(ISNUMBER(G16/B16),G16/B16," - ")</f>
        <v>166.5</v>
      </c>
      <c r="I16" s="406">
        <f>IF(ISNUMBER(IF(D_I="SI",Datos!L16,Datos!L16+Datos!AF16)),IF(D_I="SI",Datos!L16,Datos!L16+Datos!AF16)," - ")</f>
        <v>400</v>
      </c>
      <c r="J16" s="407">
        <f>IF(ISNUMBER(I16/B16),I16/B16," - ")</f>
        <v>200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20</v>
      </c>
      <c r="F17" s="407">
        <f>IF(ISNUMBER(E17/B17),E17/B17," - ")</f>
        <v>20</v>
      </c>
      <c r="G17" s="406">
        <f>IF(ISNUMBER(IF(D_I="SI",Datos!K17,Datos!K17+Datos!AE17)),IF(D_I="SI",Datos!K17,Datos!K17+Datos!AE17)," - ")</f>
        <v>50</v>
      </c>
      <c r="H17" s="407">
        <f>IF(ISNUMBER(G17/B17),G17/B17," - ")</f>
        <v>50</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507</v>
      </c>
      <c r="D18" s="853" t="str">
        <f>IF(ISNUMBER(C18/Datos!BI18),C18/Datos!BI18," - ")</f>
        <v xml:space="preserve"> - </v>
      </c>
      <c r="E18" s="852">
        <f>SUBTOTAL(9,E14:E17)</f>
        <v>285</v>
      </c>
      <c r="F18" s="853">
        <f>IF(ISNUMBER(E18/B18),E18/B18," - ")</f>
        <v>142.5</v>
      </c>
      <c r="G18" s="852">
        <f>SUBTOTAL(9,G14:G17)</f>
        <v>383</v>
      </c>
      <c r="H18" s="853">
        <f>IF(ISNUMBER(G18/B18),G18/B18," - ")</f>
        <v>191.5</v>
      </c>
      <c r="I18" s="852">
        <f>SUBTOTAL(9,I14:I17)</f>
        <v>409</v>
      </c>
      <c r="J18" s="853">
        <f>IF(ISNUMBER(I18/B18),I18/B18," - ")</f>
        <v>204.5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1889</v>
      </c>
      <c r="D19" s="798" t="str">
        <f>IF(ISNUMBER(C19/Datos!BI19),C19/Datos!BI19," - ")</f>
        <v xml:space="preserve"> - </v>
      </c>
      <c r="E19" s="797">
        <f>SUBTOTAL(9,E9:E18)</f>
        <v>823</v>
      </c>
      <c r="F19" s="798">
        <f>IF(ISNUMBER(E19/B19),E19/B19," - ")</f>
        <v>411.5</v>
      </c>
      <c r="G19" s="797">
        <f>SUBTOTAL(9,G9:G18)</f>
        <v>912</v>
      </c>
      <c r="H19" s="798">
        <f>IF(ISNUMBER(G19/B19),G19/B19," - ")</f>
        <v>456</v>
      </c>
      <c r="I19" s="797">
        <f>SUBTOTAL(9,I9:I18)</f>
        <v>1687</v>
      </c>
      <c r="J19" s="798">
        <f>IF(ISNUMBER(I19/B19),I19/B19," - ")</f>
        <v>843.5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utr9NWCvZ9AxvRgZ9DvZBUkcmRGaNwklJ/eLjQo2VKw5fHk3x6WWIlMScUUDxKvMT3b3tlONchFtkG4pUPYEg==" saltValue="brJf2/Pdy/9tFQQLVXPu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REDONDELA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5.0000000000000009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158</v>
      </c>
      <c r="AM12" s="693">
        <f>IF(ISNUMBER(Datos!N12+DatosP!N16),Datos!N12+DatosP!N16," - ")</f>
        <v>198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7.2604562737642588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-4.8128342245989303E-2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176</v>
      </c>
      <c r="AE13" s="942">
        <f t="shared" si="1"/>
        <v>0</v>
      </c>
      <c r="AF13" s="942">
        <f t="shared" si="1"/>
        <v>5</v>
      </c>
      <c r="AG13" s="942">
        <f t="shared" si="1"/>
        <v>0</v>
      </c>
      <c r="AH13" s="942">
        <f t="shared" si="1"/>
        <v>1602</v>
      </c>
      <c r="AI13" s="942">
        <f t="shared" si="1"/>
        <v>0</v>
      </c>
      <c r="AJ13" s="942">
        <f t="shared" si="1"/>
        <v>0</v>
      </c>
      <c r="AK13" s="942">
        <f t="shared" si="1"/>
        <v>0</v>
      </c>
      <c r="AL13" s="942">
        <f t="shared" si="1"/>
        <v>158</v>
      </c>
      <c r="AM13" s="942">
        <f t="shared" si="1"/>
        <v>201</v>
      </c>
      <c r="AN13" s="942">
        <f t="shared" si="1"/>
        <v>0</v>
      </c>
      <c r="AO13" s="942">
        <f t="shared" si="1"/>
        <v>0</v>
      </c>
      <c r="AP13" s="947">
        <f>IF(ISNUMBER(((Datos!L13/Datos!K13)*11)/factor_trimestre),((Datos!L13/Datos!K13)*11)/factor_trimestre," - ")</f>
        <v>7.8322981366459627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-0.42857142857142855</v>
      </c>
      <c r="AU13" s="942" t="str">
        <f>IF(ISNUMBER((DatosP!#REF!-DatosP!#REF!+DatosP!#REF!)/(DatosP!#REF!+DatosP!#REF!-DatosP!#REF!-DatosP!#REF!)),(DatosP!#REF!-DatosP!#REF!+DatosP!#REF!)/(DatosP!#REF!+DatosP!#REF!-DatosP!#REF!-DatosP!#REF!)," - ")</f>
        <v xml:space="preserve"> - </v>
      </c>
      <c r="AV13" s="948">
        <f>SUBTOTAL(9,AV9:AV12)</f>
        <v>-4.8128342245989303E-2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3.2036553524804177</v>
      </c>
      <c r="AQ18" s="947">
        <f>IF(ISNUMBER(((Datos!M18/Datos!L18)*11)/factor_trimestre),((Datos!M18/Datos!L18)*11)/factor_trimestre," - ")</f>
        <v>0.45476772616136923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0.18867924528301888</v>
      </c>
      <c r="AW18" s="949">
        <f>IF(ISNUMBER((Datos!Q18-Datos!R18)/(Datos!S18-Datos!Q18+Datos!R18)),(Datos!Q18-Datos!R18)/(Datos!S18-Datos!Q18+Datos!R18)," - ")</f>
        <v>-0.11618257261410789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176</v>
      </c>
      <c r="AE19" s="960">
        <f t="shared" si="5"/>
        <v>0</v>
      </c>
      <c r="AF19" s="961">
        <f t="shared" si="5"/>
        <v>5</v>
      </c>
      <c r="AG19" s="961">
        <f t="shared" si="5"/>
        <v>0</v>
      </c>
      <c r="AH19" s="961">
        <f t="shared" si="5"/>
        <v>1602</v>
      </c>
      <c r="AI19" s="961">
        <f t="shared" si="5"/>
        <v>0</v>
      </c>
      <c r="AJ19" s="962">
        <f t="shared" si="5"/>
        <v>0</v>
      </c>
      <c r="AK19" s="962">
        <f t="shared" si="5"/>
        <v>0</v>
      </c>
      <c r="AL19" s="954">
        <f t="shared" si="5"/>
        <v>158</v>
      </c>
      <c r="AM19" s="954">
        <f t="shared" si="5"/>
        <v>201</v>
      </c>
      <c r="AN19" s="954">
        <f t="shared" si="5"/>
        <v>0</v>
      </c>
      <c r="AO19" s="954">
        <f t="shared" si="5"/>
        <v>0</v>
      </c>
      <c r="AP19" s="954">
        <f>IF(ISNUMBER(((Datos!L19/Datos!K19)*11)/factor_trimestre),((Datos!L19/Datos!K19)*11)/factor_trimestre," - ")</f>
        <v>5.7852193995381072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-0.42857142857142855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-4.082806210465785E-2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91.221342531960872</v>
      </c>
      <c r="AM21" s="739"/>
      <c r="AN21" s="739">
        <f>IF(ISNUMBER(STDEV(AN8:AN18)),STDEV(AN8:AN18),"-")</f>
        <v>0</v>
      </c>
      <c r="AO21" s="745">
        <f>IF(ISNUMBER(STDEV(AO8:AO18)),STDEV(AO8:AO18),"-")</f>
        <v>0</v>
      </c>
      <c r="AP21" s="782">
        <f>IF(ISNUMBER(STDEV(AP8:AP18)),STDEV(AP8:AP18),"-")</f>
        <v>2.1324360140381269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r9r+zbtvOQY+BrUVmvtGDflWaodYXhDVWSP6F1c5nLHsxrFhGwcBh16q88GKIA+HbxWGUARy1UXrcm1lPGfUg==" saltValue="mb5Gw/W3EKRStpmo8pkH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REDONDELA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f2x1lVCrJ8JstCZf+/6GJvF4bsARUMHzhyNX9dXizLnrxdKTrhESf3UXHbWlYOccNeRg8vQ8BZWRESyOkJG7w==" saltValue="9e8pwlrYh5cr7sBZVR4o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REDONDELA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158</v>
      </c>
      <c r="E12" s="407">
        <f t="shared" si="0"/>
        <v>79</v>
      </c>
      <c r="F12" s="406">
        <f>IF(ISNUMBER(Datos!N12),Datos!N12," - ")</f>
        <v>198</v>
      </c>
      <c r="G12" s="407">
        <f t="shared" si="1"/>
        <v>99</v>
      </c>
      <c r="H12" s="406">
        <f>IF(ISNUMBER(Datos!O12),Datos!O12," - ")</f>
        <v>189</v>
      </c>
      <c r="I12" s="407">
        <f t="shared" si="2"/>
        <v>94.5</v>
      </c>
    </row>
    <row r="13" spans="1:9" ht="14.25" thickTop="1" thickBot="1">
      <c r="A13" s="851" t="str">
        <f>Datos!A13</f>
        <v>TOTAL</v>
      </c>
      <c r="B13" s="852">
        <f>Datos!AO13</f>
        <v>3</v>
      </c>
      <c r="C13" s="854">
        <f>Datos!AR13</f>
        <v>2</v>
      </c>
      <c r="D13" s="852">
        <f>SUBTOTAL(9,D9:D12)</f>
        <v>158</v>
      </c>
      <c r="E13" s="853">
        <f t="shared" si="0"/>
        <v>52.666666666666664</v>
      </c>
      <c r="F13" s="852">
        <f>SUBTOTAL(9,F9:F12)</f>
        <v>201</v>
      </c>
      <c r="G13" s="853">
        <f t="shared" si="1"/>
        <v>67</v>
      </c>
      <c r="H13" s="852">
        <f>SUBTOTAL(9,H9:H12)</f>
        <v>189</v>
      </c>
      <c r="I13" s="853">
        <f>IF(ISNUMBER(H13/B13),H13/B13," - ")</f>
        <v>63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61</v>
      </c>
      <c r="E16" s="407">
        <f t="shared" si="3"/>
        <v>30.5</v>
      </c>
      <c r="F16" s="406">
        <f>IF(ISNUMBER(Datos!N16),Datos!N16," - ")</f>
        <v>177</v>
      </c>
      <c r="G16" s="407">
        <f t="shared" si="4"/>
        <v>88.5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3</v>
      </c>
      <c r="C18" s="854">
        <f>Datos!AR18</f>
        <v>2</v>
      </c>
      <c r="D18" s="852">
        <f>SUBTOTAL(9,D15:D17)</f>
        <v>62</v>
      </c>
      <c r="E18" s="853">
        <f t="shared" si="3"/>
        <v>20.666666666666668</v>
      </c>
      <c r="F18" s="852">
        <f>SUBTOTAL(9,F15:F17)</f>
        <v>218</v>
      </c>
      <c r="G18" s="853">
        <f t="shared" si="4"/>
        <v>72.666666666666671</v>
      </c>
      <c r="H18" s="852">
        <f>SUBTOTAL(9,H15:H17)</f>
        <v>0</v>
      </c>
      <c r="I18" s="853">
        <f>IF(ISNUMBER(H18/B18),H18/B18," - ")</f>
        <v>0</v>
      </c>
    </row>
    <row r="19" spans="1:9" ht="14.25" thickTop="1" thickBot="1">
      <c r="A19" s="796" t="str">
        <f>Datos!A19</f>
        <v>TOTAL JURISDICCIONES</v>
      </c>
      <c r="B19" s="797">
        <f>Datos!AP19</f>
        <v>2</v>
      </c>
      <c r="C19" s="797">
        <f>Datos!AR19</f>
        <v>2</v>
      </c>
      <c r="D19" s="797">
        <f>SUBTOTAL(9,D8:D18)</f>
        <v>220</v>
      </c>
      <c r="E19" s="798">
        <f>IF(ISNUMBER(D19/B19),D19/B19," - ")</f>
        <v>110</v>
      </c>
      <c r="F19" s="797">
        <f>SUBTOTAL(9,F8:F18)</f>
        <v>419</v>
      </c>
      <c r="G19" s="798">
        <f>IF(ISNUMBER(F19/B19),F19/B19," - ")</f>
        <v>209.5</v>
      </c>
      <c r="H19" s="797">
        <f>SUBTOTAL(9,H8:H18)</f>
        <v>189</v>
      </c>
      <c r="I19" s="798">
        <f>IF(ISNUMBER(H19/B19),H19/B19," - ")</f>
        <v>94.5</v>
      </c>
    </row>
    <row r="22" spans="1:9">
      <c r="A22" s="394" t="str">
        <f>Criterios!A4</f>
        <v>Fecha Informe: 07 mar. 2024</v>
      </c>
    </row>
    <row r="27" spans="1:9">
      <c r="A27" s="417"/>
    </row>
  </sheetData>
  <sheetProtection algorithmName="SHA-512" hashValue="Udnb1oo01wbUmLqSnn1bxgl7TmzTWobYUYPMuwhKUjLSCqCYxitrNF2VspnnIbVhIoDGRMlUa5YYIQH7zRd5/w==" saltValue="uV+6nAaVLl8uJkN14Nbp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REDONDELA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95</v>
      </c>
      <c r="C12" s="437">
        <f>IF(ISNUMBER(Datos!Q12),Datos!Q12," - ")</f>
        <v>176</v>
      </c>
      <c r="D12" s="411">
        <f>IF(ISNUMBER(Datos!R12),Datos!R12," - ")</f>
        <v>1602</v>
      </c>
    </row>
    <row r="13" spans="1:4" ht="14.25" thickTop="1" thickBot="1">
      <c r="A13" s="851" t="str">
        <f>Datos!A13</f>
        <v>TOTAL</v>
      </c>
      <c r="B13" s="852">
        <f>SUBTOTAL(9,B9:B12)</f>
        <v>95</v>
      </c>
      <c r="C13" s="856">
        <f>SUBTOTAL(9,C9:C12)</f>
        <v>176</v>
      </c>
      <c r="D13" s="854">
        <f>SUBTOTAL(9,D9:D12)</f>
        <v>1605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7</v>
      </c>
      <c r="D16" s="411">
        <f>IF(ISNUMBER(Datos!R16),Datos!R16," - ")</f>
        <v>59</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17</v>
      </c>
      <c r="C18" s="856">
        <f>SUBTOTAL(9,C15:C17)</f>
        <v>7</v>
      </c>
      <c r="D18" s="854">
        <f>SUBTOTAL(9,D15:D17)</f>
        <v>63</v>
      </c>
    </row>
    <row r="19" spans="1:4" ht="16.5" customHeight="1" thickTop="1" thickBot="1">
      <c r="A19" s="796" t="str">
        <f>Datos!A19</f>
        <v>TOTAL JURISDICCIONES</v>
      </c>
      <c r="B19" s="801">
        <f>SUBTOTAL(9,B8:B18)</f>
        <v>112</v>
      </c>
      <c r="C19" s="802">
        <f>SUBTOTAL(9,C8:C18)</f>
        <v>183</v>
      </c>
      <c r="D19" s="803">
        <f>SUBTOTAL(9,D8:D18)</f>
        <v>1668</v>
      </c>
    </row>
    <row r="20" spans="1:4" ht="7.5" customHeight="1"/>
    <row r="21" spans="1:4" ht="6" customHeight="1"/>
    <row r="22" spans="1:4">
      <c r="A22" s="394" t="str">
        <f>Criterios!A4</f>
        <v>Fecha Informe: 07 mar. 2024</v>
      </c>
    </row>
    <row r="27" spans="1:4">
      <c r="A27" s="417"/>
    </row>
  </sheetData>
  <sheetProtection algorithmName="SHA-512" hashValue="DQy5s0E5/s50OMDUzVhtDU6/RCh8ZqMQk+D/Wld9uI/hKrQPWg1Kb3jN/vuxk6RcXJyhumiQoRvy2bhj8vQLfQ==" saltValue="vrK8S77lsEqwmzVDpkt1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REDONDELA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-0.125</v>
      </c>
      <c r="C10" s="459">
        <f>IF(ISNUMBER((Datos!J10-Datos!T10)/Datos!T10),(Datos!J10-Datos!T10)/Datos!T10," - ")</f>
        <v>-0.5</v>
      </c>
      <c r="D10" s="459">
        <f>IF(ISNUMBER((Datos!K10-Datos!U10)/Datos!U10),(Datos!K10-Datos!U10)/Datos!U10," - ")</f>
        <v>0.5</v>
      </c>
      <c r="E10" s="459">
        <f>IF(ISNUMBER((Datos!L10-Datos!V10)/Datos!V10),(Datos!L10-Datos!V10)/Datos!V10," - ")</f>
        <v>-0.375</v>
      </c>
      <c r="F10" s="459">
        <f>IF(ISNUMBER((Datos!M10-Datos!W10)/Datos!W10),(Datos!M10-Datos!W10)/Datos!W10," - ")</f>
        <v>-1</v>
      </c>
      <c r="G10" s="460">
        <f>IF(ISNUMBER((Datos!N10-Datos!X10)/Datos!X10),(Datos!N10-Datos!X10)/Datos!X10," - ")</f>
        <v>2</v>
      </c>
      <c r="H10" s="458">
        <f>IF(ISNUMBER(((NºAsuntos!G10/NºAsuntos!E10)-Datos!BD10)/Datos!BD10),((NºAsuntos!G10/NºAsuntos!E10)-Datos!BD10)/Datos!BD10," - ")</f>
        <v>2</v>
      </c>
      <c r="I10" s="459">
        <f>IF(ISNUMBER(((NºAsuntos!I10/NºAsuntos!G10)-Datos!BE10)/Datos!BE10),((NºAsuntos!I10/NºAsuntos!G10)-Datos!BE10)/Datos!BE10," - ")</f>
        <v>-0.58333333333333326</v>
      </c>
      <c r="J10" s="464">
        <f>IF(ISNUMBER((('Resol  Asuntos'!D10/NºAsuntos!G10)-Datos!BF10)/Datos!BF10),(('Resol  Asuntos'!D10/NºAsuntos!G10)-Datos!BF10)/Datos!BF10," - ")</f>
        <v>-1</v>
      </c>
      <c r="K10" s="465">
        <f>IF(ISNUMBER((((NºAsuntos!C10+NºAsuntos!E10)/NºAsuntos!G10)-Datos!BG10)/Datos!BG10),(((NºAsuntos!C10+NºAsuntos!E10)/NºAsuntos!G10)-Datos!BG10)/Datos!BG10," - ")</f>
        <v>-0.46666666666666667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0.32084534101825168</v>
      </c>
      <c r="C12" s="459">
        <f>IF(ISNUMBER(
   IF(J_V="SI",(Datos!J12-Datos!T12)/Datos!T12,(Datos!J12+Datos!Z12-(Datos!T12+Datos!AH12))/(Datos!T12+Datos!AH12))
     ),IF(J_V="SI",(Datos!J12-Datos!T12)/Datos!T12,(Datos!J12+Datos!Z12-(Datos!T12+Datos!AH12))/(Datos!T12+Datos!AH12))," - ")</f>
        <v>0.12343096234309624</v>
      </c>
      <c r="D12" s="459">
        <f>IF(ISNUMBER(
   IF(J_V="SI",(Datos!K12-Datos!U12)/Datos!U12,(Datos!K12+Datos!AA12-(Datos!U12+Datos!AI12))/(Datos!U12+Datos!AI12))
     ),IF(J_V="SI",(Datos!K12-Datos!U12)/Datos!U12,(Datos!K12+Datos!AA12-(Datos!U12+Datos!AI12))/(Datos!U12+Datos!AI12))," - ")</f>
        <v>0.46927374301675978</v>
      </c>
      <c r="E12" s="459">
        <f>IF(ISNUMBER(
   IF(J_V="SI",(Datos!L12-Datos!V12)/Datos!V12,(Datos!L12+Datos!AB12-(Datos!V12+Datos!AJ12))/(Datos!V12+Datos!AJ12))
     ),IF(J_V="SI",(Datos!L12-Datos!V12)/Datos!V12,(Datos!L12+Datos!AB12-(Datos!V12+Datos!AJ12))/(Datos!V12+Datos!AJ12))," - ")</f>
        <v>9.6468561584840656E-2</v>
      </c>
      <c r="F12" s="459">
        <f>IF(ISNUMBER((Datos!M12-Datos!W12)/Datos!W12),(Datos!M12-Datos!W12)/Datos!W12," - ")</f>
        <v>0.43636363636363634</v>
      </c>
      <c r="G12" s="460">
        <f>IF(ISNUMBER((Datos!N12-Datos!X12)/Datos!X12),(Datos!N12-Datos!X12)/Datos!X12," - ")</f>
        <v>0.2857142857142857</v>
      </c>
      <c r="H12" s="458">
        <f>IF(ISNUMBER(((NºAsuntos!G12/NºAsuntos!E12)-Datos!BD12)/Datos!BD12),((NºAsuntos!G12/NºAsuntos!E12)-Datos!BD12)/Datos!BD12," - ")</f>
        <v>0.30784515672627771</v>
      </c>
      <c r="I12" s="459">
        <f>IF(ISNUMBER(((NºAsuntos!I12/NºAsuntos!G12)-Datos!BE12)/Datos!BE12),((NºAsuntos!I12/NºAsuntos!G12)-Datos!BE12)/Datos!BE12," - ")</f>
        <v>-0.25373432500499432</v>
      </c>
      <c r="J12" s="464">
        <f>IF(ISNUMBER((('Resol  Asuntos'!D12/NºAsuntos!G12)-Datos!BF12)/Datos!BF12),(('Resol  Asuntos'!D12/NºAsuntos!G12)-Datos!BF12)/Datos!BF12," - ")</f>
        <v>-0.3017134956298454</v>
      </c>
      <c r="K12" s="465">
        <f>IF(ISNUMBER((((NºAsuntos!C12+NºAsuntos!E12)/NºAsuntos!G12)-Datos!BG12)/Datos!BG12),(((NºAsuntos!C12+NºAsuntos!E12)/NºAsuntos!G12)-Datos!BG12)/Datos!BG12," - ")</f>
        <v>-0.1433027031492102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0.31744518589132509</v>
      </c>
      <c r="C13" s="858">
        <f>IF(ISNUMBER(
   IF(J_V="SI",(Datos!J13-Datos!T13)/Datos!T13,(Datos!J13+Datos!Z13-(Datos!T13+Datos!AH13))/(Datos!T13+Datos!AH13))
     ),IF(J_V="SI",(Datos!J13-Datos!T13)/Datos!T13,(Datos!J13+Datos!Z13-(Datos!T13+Datos!AH13))/(Datos!T13+Datos!AH13))," - ")</f>
        <v>0.12083333333333333</v>
      </c>
      <c r="D13" s="858">
        <f>IF(ISNUMBER(
   IF(J_V="SI",(Datos!K13-Datos!U13)/Datos!U13,(Datos!K13+Datos!AA13-(Datos!U13+Datos!AI13))/(Datos!U13+Datos!AI13))
     ),IF(J_V="SI",(Datos!K13-Datos!U13)/Datos!U13,(Datos!K13+Datos!AA13-(Datos!U13+Datos!AI13))/(Datos!U13+Datos!AI13))," - ")</f>
        <v>0.46944444444444444</v>
      </c>
      <c r="E13" s="858">
        <f>IF(ISNUMBER(
   IF(J_V="SI",(Datos!L13-Datos!V13)/Datos!V13,(Datos!L13+Datos!AB13-(Datos!V13+Datos!AJ13))/(Datos!V13+Datos!AJ13))
     ),IF(J_V="SI",(Datos!L13-Datos!V13)/Datos!V13,(Datos!L13+Datos!AB13-(Datos!V13+Datos!AJ13))/(Datos!V13+Datos!AJ13))," - ")</f>
        <v>9.3242087254063299E-2</v>
      </c>
      <c r="F13" s="859">
        <f>IF(ISNUMBER((Datos!M13-Datos!W13)/Datos!W13),(Datos!M13-Datos!W13)/Datos!W13," - ")</f>
        <v>0.42342342342342343</v>
      </c>
      <c r="G13" s="860">
        <f>IF(ISNUMBER((Datos!N13-Datos!X13)/Datos!X13),(Datos!N13-Datos!X13)/Datos!X13," - ")</f>
        <v>0.29677419354838708</v>
      </c>
      <c r="H13" s="860">
        <f>IF(ISNUMBER(((NºAsuntos!G13/NºAsuntos!E13)-Datos!BD13)/Datos!BD13),((NºAsuntos!G13/NºAsuntos!E13)-Datos!BD13)/Datos!BD13," - ")</f>
        <v>0.31102850061957871</v>
      </c>
      <c r="I13" s="860">
        <f>IF(ISNUMBER(((NºAsuntos!I13/NºAsuntos!G13)-Datos!BE13)/Datos!BE13),((NºAsuntos!I13/NºAsuntos!G13)-Datos!BE13)/Datos!BE13," - ")</f>
        <v>-0.25601672701046735</v>
      </c>
      <c r="J13" s="860">
        <f>IF(ISNUMBER((('Resol  Asuntos'!D13/NºAsuntos!G13)-Datos!BF13)/Datos!BF13),(('Resol  Asuntos'!D13/NºAsuntos!G13)-Datos!BF13)/Datos!BF13," - ")</f>
        <v>-0.30629916458320627</v>
      </c>
      <c r="K13" s="860">
        <f>IF(ISNUMBER((((NºAsuntos!C13+NºAsuntos!E13)/NºAsuntos!G13)-Datos!BG13)/Datos!BG13),(((NºAsuntos!C13+NºAsuntos!E13)/NºAsuntos!G13)-Datos!BG13)/Datos!BG13," - ")</f>
        <v>-0.1454439129569346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0.25133689839572193</v>
      </c>
      <c r="C16" s="459">
        <f>IF(ISNUMBER(
   IF(D_I="SI",(Datos!J16-Datos!T16)/Datos!T16,(Datos!J16+Datos!AD16-(Datos!T16+Datos!AL16))/(Datos!T16+Datos!AL16))
     ),IF(D_I="SI",(Datos!J16-Datos!T16)/Datos!T16,(Datos!J16+Datos!AD16-(Datos!T16+Datos!AL16))/(Datos!T16+Datos!AL16))," - ")</f>
        <v>-0.14516129032258066</v>
      </c>
      <c r="D16" s="459">
        <f>IF(ISNUMBER(
   IF(D_I="SI",(Datos!K16-Datos!U16)/Datos!U16,(Datos!K16+Datos!AE16-(Datos!U16+Datos!AM16))/(Datos!U16+Datos!AM16))
     ),IF(D_I="SI",(Datos!K16-Datos!U16)/Datos!U16,(Datos!K16+Datos!AE16-(Datos!U16+Datos!AM16))/(Datos!U16+Datos!AM16))," - ")</f>
        <v>0.16027874564459929</v>
      </c>
      <c r="E16" s="459">
        <f>IF(ISNUMBER(
   IF(D_I="SI",(Datos!L16-Datos!V16)/Datos!V16,(Datos!L16+Datos!AF16-(Datos!V16+Datos!AN16))/(Datos!V16+Datos!AN16))
     ),IF(D_I="SI",(Datos!L16-Datos!V16)/Datos!V16,(Datos!L16+Datos!AF16-(Datos!V16+Datos!AN16))/(Datos!V16+Datos!AN16))," - ")</f>
        <v>7.556675062972292E-3</v>
      </c>
      <c r="F16" s="459">
        <f>IF(ISNUMBER((Datos!M16-Datos!W16)/Datos!W16),(Datos!M16-Datos!W16)/Datos!W16," - ")</f>
        <v>0.32608695652173914</v>
      </c>
      <c r="G16" s="460">
        <f>IF(ISNUMBER((Datos!N16-Datos!X16)/Datos!X16),(Datos!N16-Datos!X16)/Datos!X16," - ")</f>
        <v>0.17218543046357615</v>
      </c>
      <c r="H16" s="458">
        <f>IF(ISNUMBER(((NºAsuntos!G16/NºAsuntos!E16)-Datos!BD16)/Datos!BD16),((NºAsuntos!G16/NºAsuntos!E16)-Datos!BD16)/Datos!BD16," - ")</f>
        <v>0.35730721188613501</v>
      </c>
      <c r="I16" s="459">
        <f>IF(ISNUMBER(((NºAsuntos!I16/NºAsuntos!G16)-Datos!BE16)/Datos!BE16),((NºAsuntos!I16/NºAsuntos!G16)-Datos!BE16)/Datos!BE16," - ")</f>
        <v>-0.1316253280988797</v>
      </c>
      <c r="J16" s="464">
        <f>IF(ISNUMBER((('Resol  Asuntos'!D16/NºAsuntos!G16)-Datos!BF16)/Datos!BF16),(('Resol  Asuntos'!D16/NºAsuntos!G16)-Datos!BF16)/Datos!BF16," - ")</f>
        <v>0.14290377333855608</v>
      </c>
      <c r="K16" s="465">
        <f>IF(ISNUMBER((((NºAsuntos!C16+NºAsuntos!E16)/NºAsuntos!G16)-Datos!BG16)/Datos!BG16),(((NºAsuntos!C16+NºAsuntos!E16)/NºAsuntos!G16)-Datos!BG16)/Datos!BG16," - ")</f>
        <v>-7.6396572010607081E-2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-0.23076923076923078</v>
      </c>
      <c r="D17" s="459">
        <f>IF(ISNUMBER(
   IF(D_I="SI",(Datos!K17-Datos!U17)/Datos!U17,(Datos!K17+Datos!AE17-(Datos!U17+Datos!AM17))/(Datos!U17+Datos!AM17))
     ),IF(D_I="SI",(Datos!K17-Datos!U17)/Datos!U17,(Datos!K17+Datos!AE17-(Datos!U17+Datos!AM17))/(Datos!U17+Datos!AM17))," - ")</f>
        <v>0.61290322580645162</v>
      </c>
      <c r="E17" s="459">
        <f>IF(ISNUMBER(
   IF(D_I="SI",(Datos!L17-Datos!V17)/Datos!V17,(Datos!L17+Datos!AF17-(Datos!V17+Datos!AN17))/(Datos!V17+Datos!AN17))
     ),IF(D_I="SI",(Datos!L17-Datos!V17)/Datos!V17,(Datos!L17+Datos!AF17-(Datos!V17+Datos!AN17))/(Datos!V17+Datos!AN17))," - ")</f>
        <v>-0.80851063829787229</v>
      </c>
      <c r="F17" s="459">
        <f>IF(ISNUMBER((Datos!M17-Datos!W17)/Datos!W17),(Datos!M17-Datos!W17)/Datos!W17," - ")</f>
        <v>-0.91666666666666663</v>
      </c>
      <c r="G17" s="460">
        <f>IF(ISNUMBER((Datos!N17-Datos!X17)/Datos!X17),(Datos!N17-Datos!X17)/Datos!X17," - ")</f>
        <v>0.57692307692307687</v>
      </c>
      <c r="H17" s="458">
        <f>IF(ISNUMBER(((NºAsuntos!G17/NºAsuntos!E17)-Datos!BD17)/Datos!BD17),((NºAsuntos!G17/NºAsuntos!E17)-Datos!BD17)/Datos!BD17," - ")</f>
        <v>1.0967741935483872</v>
      </c>
      <c r="I17" s="459">
        <f>IF(ISNUMBER(((NºAsuntos!I17/NºAsuntos!G17)-Datos!BE17)/Datos!BE17),((NºAsuntos!I17/NºAsuntos!G17)-Datos!BE17)/Datos!BE17," - ")</f>
        <v>-0.88127659574468087</v>
      </c>
      <c r="J17" s="464">
        <f>IF(ISNUMBER((('Resol  Asuntos'!D17/NºAsuntos!G17)-Datos!BF17)/Datos!BF17),(('Resol  Asuntos'!D17/NºAsuntos!G17)-Datos!BF17)/Datos!BF17," - ")</f>
        <v>-0.94833333333333325</v>
      </c>
      <c r="K17" s="465">
        <f>IF(ISNUMBER((((NºAsuntos!C17+NºAsuntos!E17)/NºAsuntos!G17)-Datos!BG17)/Datos!BG17),(((NºAsuntos!C17+NºAsuntos!E17)/NºAsuntos!G17)-Datos!BG17)/Datos!BG17," - ")</f>
        <v>-0.53102564102564109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0.19014084507042253</v>
      </c>
      <c r="C18" s="858">
        <f>IF(ISNUMBER(
   IF(Criterios!B14="SI",(Datos!J18-Datos!T18)/Datos!T18,(Datos!J18+Datos!AD18-(Datos!T18+Datos!AL18))/(Datos!T18+Datos!AL18))
     ),IF(Criterios!B14="SI",(Datos!J18-Datos!T18)/Datos!T18,(Datos!J18+Datos!AD18-(Datos!T18+Datos!AL18))/(Datos!T18+Datos!AL18))," - ")</f>
        <v>-0.15178571428571427</v>
      </c>
      <c r="D18" s="858">
        <f>IF(ISNUMBER(
   IF(Criterios!B14="SI",(Datos!K18-Datos!U18)/Datos!U18,(Datos!K18+Datos!AE18-(Datos!U18+Datos!AM18))/(Datos!U18+Datos!AM18))
     ),IF(Criterios!B14="SI",(Datos!K18-Datos!U18)/Datos!U18,(Datos!K18+Datos!AE18-(Datos!U18+Datos!AM18))/(Datos!U18+Datos!AM18))," - ")</f>
        <v>0.20440251572327045</v>
      </c>
      <c r="E18" s="858">
        <f>IF(ISNUMBER(
   IF(Criterios!B14="SI",(Datos!L18-Datos!V18)/Datos!V18,(Datos!L18+Datos!AF18-(Datos!V18+Datos!AN18))/(Datos!V18+Datos!AN18))
     ),IF(Criterios!B14="SI",(Datos!L18-Datos!V18)/Datos!V18,(Datos!L18+Datos!AF18-(Datos!V18+Datos!AN18))/(Datos!V18+Datos!AN18))," - ")</f>
        <v>-7.8828828828828829E-2</v>
      </c>
      <c r="F18" s="859">
        <f>IF(ISNUMBER((Datos!M18-Datos!W18)/Datos!W18),(Datos!M18-Datos!W18)/Datos!W18," - ")</f>
        <v>6.8965517241379309E-2</v>
      </c>
      <c r="G18" s="860">
        <f>IF(ISNUMBER((Datos!N18-Datos!X18)/Datos!X18),(Datos!N18-Datos!X18)/Datos!X18," - ")</f>
        <v>0.23163841807909605</v>
      </c>
      <c r="H18" s="860">
        <f>IF(ISNUMBER(((NºAsuntos!G18/NºAsuntos!E18)-Datos!BD18)/Datos!BD18),((NºAsuntos!G18/NºAsuntos!E18)-Datos!BD18)/Datos!BD18," - ")</f>
        <v>0.41992717643164518</v>
      </c>
      <c r="I18" s="860">
        <f>IF(ISNUMBER(((NºAsuntos!I18/NºAsuntos!G18)-Datos!BE18)/Datos!BE18),((NºAsuntos!I18/NºAsuntos!G18)-Datos!BE18)/Datos!BE18," - ")</f>
        <v>-0.2351633617952156</v>
      </c>
      <c r="J18" s="860">
        <f>IF(ISNUMBER((('Resol  Asuntos'!D18/NºAsuntos!G18)-Datos!BF18)/Datos!BF18),(('Resol  Asuntos'!D18/NºAsuntos!G18)-Datos!BF18)/Datos!BF18," - ")</f>
        <v>-0.11245160709462493</v>
      </c>
      <c r="K18" s="860">
        <f>IF(ISNUMBER((((NºAsuntos!C18+NºAsuntos!E18)/NºAsuntos!G18)-Datos!BG18)/Datos!BG18),(((NºAsuntos!C18+NºAsuntos!E18)/NºAsuntos!G18)-Datos!BG18)/Datos!BG18," - ")</f>
        <v>-0.13702432104603113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0.28067796610169493</v>
      </c>
      <c r="C19" s="805">
        <f>IF(ISNUMBER(
   IF(J_V="SI",(Datos!J19-Datos!T19)/Datos!T19,(Datos!J19+Datos!Z19-(Datos!T19+Datos!AH19))/(Datos!T19+Datos!AH19))
     ),IF(J_V="SI",(Datos!J19-Datos!T19)/Datos!T19,(Datos!J19+Datos!Z19-(Datos!T19+Datos!AH19))/(Datos!T19+Datos!AH19))," - ")</f>
        <v>8.5784313725490204E-3</v>
      </c>
      <c r="D19" s="805">
        <f>IF(ISNUMBER(
   IF(J_V="SI",(Datos!K19-Datos!U19)/Datos!U19,(Datos!K19+Datos!AA19-(Datos!U19+Datos!AI19))/(Datos!U19+Datos!AI19))
     ),IF(J_V="SI",(Datos!K19-Datos!U19)/Datos!U19,(Datos!K19+Datos!AA19-(Datos!U19+Datos!AI19))/(Datos!U19+Datos!AI19))," - ")</f>
        <v>0.34513274336283184</v>
      </c>
      <c r="E19" s="805">
        <f>IF(ISNUMBER(
   IF(J_V="SI",(Datos!L19-Datos!V19)/Datos!V19,(Datos!L19+Datos!AB19-(Datos!V19+Datos!AJ19))/(Datos!V19+Datos!AJ19))
     ),IF(J_V="SI",(Datos!L19-Datos!V19)/Datos!V19,(Datos!L19+Datos!AB19-(Datos!V19+Datos!AJ19))/(Datos!V19+Datos!AJ19))," - ")</f>
        <v>4.5877247365158087E-2</v>
      </c>
      <c r="F19" s="806">
        <f>IF(ISNUMBER((Datos!M19-Datos!W19)/Datos!W19),(Datos!M19-Datos!W19)/Datos!W19," - ")</f>
        <v>0.30177514792899407</v>
      </c>
      <c r="G19" s="807">
        <f>IF(ISNUMBER((Datos!N19-Datos!X19)/Datos!X19),(Datos!N19-Datos!X19)/Datos!X19," - ")</f>
        <v>0.26204819277108432</v>
      </c>
      <c r="H19" s="808">
        <f>IF(ISNUMBER((Tasas!B19-Datos!BD19)/Datos!BD19),(Tasas!B19-Datos!BD19)/Datos!BD19," - ")</f>
        <v>0.33369176012645302</v>
      </c>
      <c r="I19" s="809">
        <f>IF(ISNUMBER((Tasas!C19-Datos!BE19)/Datos!BE19),(Tasas!C19-Datos!BE19)/Datos!BE19," - ")</f>
        <v>-0.22247283584037597</v>
      </c>
      <c r="J19" s="810">
        <f>IF(ISNUMBER((Tasas!D19-Datos!BF19)/Datos!BF19),(Tasas!D19-Datos!BF19)/Datos!BF19," - ")</f>
        <v>-0.2321472695824067</v>
      </c>
      <c r="K19" s="810">
        <f>IF(ISNUMBER((Tasas!E19-Datos!BG19)/Datos!BG19),(Tasas!E19-Datos!BG19)/Datos!BG19," - ")</f>
        <v>-0.11996599967837535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0RnrcQSqZi/sAScLYCog+5vBE+Llf5uvSVDe3GJgY6qIeWDL6w6ZqpwSJvE++mZYpJVjWdhsHnWlkNaCyx8rg==" saltValue="v4urZNmGJqb1hFLdlZAB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REDONDELA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1.6666666666666667</v>
      </c>
      <c r="D10" s="447">
        <f>IF(ISNUMBER('Resol  Asuntos'!D10/NºAsuntos!G10),'Resol  Asuntos'!D10/NºAsuntos!G10," - ")</f>
        <v>0</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0.97951582867783982</v>
      </c>
      <c r="C12" s="446">
        <f>IF(ISNUMBER(NºAsuntos!I12/NºAsuntos!G12),NºAsuntos!I12/NºAsuntos!G12," - ")</f>
        <v>2.4201520912547529</v>
      </c>
      <c r="D12" s="447">
        <f>IF(ISNUMBER('Resol  Asuntos'!D12/NºAsuntos!G12),'Resol  Asuntos'!D12/NºAsuntos!G12," - ")</f>
        <v>0.30038022813688214</v>
      </c>
      <c r="E12" s="448">
        <f>IF(ISNUMBER((NºAsuntos!C12+NºAsuntos!E12)/NºAsuntos!G12),(NºAsuntos!C12+NºAsuntos!E12)/NºAsuntos!G12," - ")</f>
        <v>3.6349809885931559</v>
      </c>
      <c r="G12" s="466"/>
    </row>
    <row r="13" spans="1:7" ht="14.25" thickTop="1" thickBot="1">
      <c r="A13" s="851" t="str">
        <f>Datos!A13</f>
        <v>TOTAL</v>
      </c>
      <c r="B13" s="861">
        <f>IF(ISNUMBER(NºAsuntos!G13/NºAsuntos!E13),NºAsuntos!G13/NºAsuntos!E13," - ")</f>
        <v>0.98327137546468402</v>
      </c>
      <c r="C13" s="862">
        <f>IF(ISNUMBER(NºAsuntos!I13/NºAsuntos!G13),NºAsuntos!I13/NºAsuntos!G13," - ")</f>
        <v>2.4158790170132325</v>
      </c>
      <c r="D13" s="863">
        <f>IF(ISNUMBER('Resol  Asuntos'!D13/NºAsuntos!G13),'Resol  Asuntos'!D13/NºAsuntos!G13," - ")</f>
        <v>0.29867674858223064</v>
      </c>
      <c r="E13" s="864">
        <f>IF(ISNUMBER((NºAsuntos!C13+NºAsuntos!E13)/NºAsuntos!G13),(NºAsuntos!C13+NºAsuntos!E13)/NºAsuntos!G13," - ")</f>
        <v>3.6294896030245747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1.2566037735849056</v>
      </c>
      <c r="C16" s="446">
        <f>IF(ISNUMBER(NºAsuntos!I16/NºAsuntos!G16),NºAsuntos!I16/NºAsuntos!G16," - ")</f>
        <v>1.2012012012012012</v>
      </c>
      <c r="D16" s="447">
        <f>IF(ISNUMBER('Resol  Asuntos'!D16/NºAsuntos!G16),'Resol  Asuntos'!D16/NºAsuntos!G16," - ")</f>
        <v>0.18318318318318319</v>
      </c>
      <c r="E16" s="448">
        <f>IF(ISNUMBER((NºAsuntos!C16+NºAsuntos!E16)/NºAsuntos!G16),(NºAsuntos!C16+NºAsuntos!E16)/NºAsuntos!G16," - ")</f>
        <v>2.2012012012012012</v>
      </c>
      <c r="G16" s="466"/>
    </row>
    <row r="17" spans="1:7" ht="13.5" thickBot="1">
      <c r="A17" s="405" t="str">
        <f>Datos!A17</f>
        <v>Jdos. Violencia contra la mujer</v>
      </c>
      <c r="B17" s="445">
        <f>IF(ISNUMBER(NºAsuntos!G17/NºAsuntos!E17),NºAsuntos!G17/NºAsuntos!E17," - ")</f>
        <v>2.5</v>
      </c>
      <c r="C17" s="446">
        <f>IF(ISNUMBER(NºAsuntos!I17/NºAsuntos!G17),NºAsuntos!I17/NºAsuntos!G17," - ")</f>
        <v>0.18</v>
      </c>
      <c r="D17" s="447">
        <f>IF(ISNUMBER('Resol  Asuntos'!D17/NºAsuntos!G17),'Resol  Asuntos'!D17/NºAsuntos!G17," - ")</f>
        <v>0.02</v>
      </c>
      <c r="E17" s="448">
        <f>IF(ISNUMBER((NºAsuntos!C17+NºAsuntos!E17)/NºAsuntos!G17),(NºAsuntos!C17+NºAsuntos!E17)/NºAsuntos!G17," - ")</f>
        <v>1.18</v>
      </c>
      <c r="G17" s="466"/>
    </row>
    <row r="18" spans="1:7" ht="14.25" thickTop="1" thickBot="1">
      <c r="A18" s="851" t="str">
        <f>Datos!A18</f>
        <v>TOTAL</v>
      </c>
      <c r="B18" s="861">
        <f>IF(ISNUMBER(NºAsuntos!G18/NºAsuntos!E18),NºAsuntos!G18/NºAsuntos!E18," - ")</f>
        <v>1.343859649122807</v>
      </c>
      <c r="C18" s="862">
        <f>IF(ISNUMBER(NºAsuntos!I18/NºAsuntos!G18),NºAsuntos!I18/NºAsuntos!G18," - ")</f>
        <v>1.0678851174934725</v>
      </c>
      <c r="D18" s="865">
        <f>IF(ISNUMBER('Resol  Asuntos'!D18/NºAsuntos!G18),'Resol  Asuntos'!D18/NºAsuntos!G18," - ")</f>
        <v>0.16187989556135771</v>
      </c>
      <c r="E18" s="864">
        <f>IF(ISNUMBER((NºAsuntos!C18+NºAsuntos!E18)/NºAsuntos!G18),(NºAsuntos!C18+NºAsuntos!E18)/NºAsuntos!G18," - ")</f>
        <v>2.0678851174934727</v>
      </c>
      <c r="G18" s="466"/>
    </row>
    <row r="19" spans="1:7" ht="15.75" customHeight="1" thickTop="1" thickBot="1">
      <c r="A19" s="796" t="str">
        <f>Datos!A19</f>
        <v>TOTAL JURISDICCIONES</v>
      </c>
      <c r="B19" s="811">
        <f>IF(ISNUMBER(NºAsuntos!G19/NºAsuntos!E19),NºAsuntos!G19/NºAsuntos!E19," - ")</f>
        <v>1.1081409477521265</v>
      </c>
      <c r="C19" s="812">
        <f>IF(ISNUMBER(NºAsuntos!I19/NºAsuntos!G19),NºAsuntos!I19/NºAsuntos!G19," - ")</f>
        <v>1.8497807017543859</v>
      </c>
      <c r="D19" s="813">
        <f>IF(ISNUMBER('Resol  Asuntos'!D19/NºAsuntos!G19),'Resol  Asuntos'!D19/NºAsuntos!G19," - ")</f>
        <v>0.2412280701754386</v>
      </c>
      <c r="E19" s="814">
        <f>IF(ISNUMBER((NºAsuntos!C19+NºAsuntos!E19)/NºAsuntos!G19),(NºAsuntos!C19+NºAsuntos!E19)/NºAsuntos!G19," - ")</f>
        <v>2.9736842105263159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m60X8yCJi9jYXHhberffBRe5gBg/i3clVymeK5STw735kCkQq63O7H2tPjTGh9H1lulByOsLuR0piANi3KJRQ==" saltValue="/EKFum2b2cHUcc5yCR+y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REDONDELA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5</v>
      </c>
      <c r="AB10" s="337">
        <f>IF(ISNUMBER(Datos!R10),Datos!R10," - ")</f>
        <v>3</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5.0000000000000009</v>
      </c>
      <c r="AN10" s="247">
        <f>IF(ISNUMBER('Resol  Asuntos'!D10/NºAsuntos!G10),'Resol  Asuntos'!D10/NºAsuntos!G10," - ")</f>
        <v>0</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176</v>
      </c>
      <c r="Y12" s="337">
        <f t="shared" si="0"/>
        <v>176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158</v>
      </c>
      <c r="AJ12" s="232" t="str">
        <f>IF(ISNUMBER(Datos!BW12),Datos!BW12," - ")</f>
        <v xml:space="preserve"> - </v>
      </c>
      <c r="AK12" s="231" t="str">
        <f>IF(ISNUMBER(Datos!BX12),Datos!BX12," - ")</f>
        <v xml:space="preserve"> - </v>
      </c>
      <c r="AL12" s="246">
        <f>IF(ISNUMBER(NºAsuntos!G12/NºAsuntos!E12),NºAsuntos!G12/NºAsuntos!E12," - ")</f>
        <v>0.97951582867783982</v>
      </c>
      <c r="AM12" s="263">
        <f>IF(ISNUMBER(((NºAsuntos!I12/NºAsuntos!G12)*11)/factor_trimestre),((NºAsuntos!I12/NºAsuntos!G12)*11)/factor_trimestre," - ")</f>
        <v>7.2604562737642588</v>
      </c>
      <c r="AN12" s="247">
        <f>IF(ISNUMBER('Resol  Asuntos'!D12/NºAsuntos!G12),'Resol  Asuntos'!D12/NºAsuntos!G12," - ")</f>
        <v>0.30038022813688214</v>
      </c>
      <c r="AO12" s="248">
        <f>IF(ISNUMBER((NºAsuntos!C12+NºAsuntos!E12)/NºAsuntos!G12),(NºAsuntos!C12+NºAsuntos!E12)/NºAsuntos!G12," - ")</f>
        <v>3.6349809885931559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176</v>
      </c>
      <c r="Y13" s="871">
        <f t="shared" si="4"/>
        <v>179</v>
      </c>
      <c r="Z13" s="871">
        <f t="shared" si="4"/>
        <v>0</v>
      </c>
      <c r="AA13" s="871">
        <f t="shared" si="4"/>
        <v>5</v>
      </c>
      <c r="AB13" s="871">
        <f t="shared" si="4"/>
        <v>1605</v>
      </c>
      <c r="AC13" s="871">
        <f t="shared" si="4"/>
        <v>8</v>
      </c>
      <c r="AD13" s="871">
        <f t="shared" si="4"/>
        <v>0</v>
      </c>
      <c r="AE13" s="875">
        <f t="shared" si="4"/>
        <v>0</v>
      </c>
      <c r="AF13" s="868">
        <f t="shared" si="4"/>
        <v>0</v>
      </c>
      <c r="AG13" s="876">
        <f t="shared" si="4"/>
        <v>0</v>
      </c>
      <c r="AH13" s="873">
        <f t="shared" si="4"/>
        <v>0</v>
      </c>
      <c r="AI13" s="868">
        <f t="shared" si="4"/>
        <v>158</v>
      </c>
      <c r="AJ13" s="870">
        <f t="shared" si="4"/>
        <v>0</v>
      </c>
      <c r="AK13" s="873">
        <f>SUBTOTAL(9,AK9:AK12)</f>
        <v>0</v>
      </c>
      <c r="AL13" s="877">
        <f>IF(ISNUMBER(NºAsuntos!G13/NºAsuntos!E13),NºAsuntos!G13/NºAsuntos!E13," - ")</f>
        <v>0.98327137546468402</v>
      </c>
      <c r="AM13" s="877">
        <f>IF(ISNUMBER(((NºAsuntos!I13/NºAsuntos!G13)*11)/factor_trimestre),((NºAsuntos!I13/NºAsuntos!G13)*11)/factor_trimestre," - ")</f>
        <v>7.247637051039697</v>
      </c>
      <c r="AN13" s="878">
        <f>IF(ISNUMBER('Resol  Asuntos'!D13/NºAsuntos!G13),'Resol  Asuntos'!D13/NºAsuntos!G13," - ")</f>
        <v>0.29867674858223064</v>
      </c>
      <c r="AO13" s="879">
        <f>IF(ISNUMBER((NºAsuntos!C13+NºAsuntos!E13)/NºAsuntos!G13),(NºAsuntos!C13+NºAsuntos!E13)/NºAsuntos!G13," - ")</f>
        <v>3.6294896030245747</v>
      </c>
      <c r="AP13" s="880" t="str">
        <f t="shared" si="2"/>
        <v xml:space="preserve"> - </v>
      </c>
      <c r="AQ13" s="880">
        <f>IF(ISNUMBER((H13-W13+K13)/(F13)),(H13-W13+K13)/(F13)," - ")</f>
        <v>-0.42857142857142855</v>
      </c>
      <c r="AR13" s="881">
        <f>IF(ISNUMBER((Datos!P13-Datos!Q13)/(Datos!R13-Datos!P13+Datos!Q13)),(Datos!P13-Datos!Q13)/(Datos!R13-Datos!P13+Datos!Q13)," - ")</f>
        <v>-4.8042704626334518E-2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468</v>
      </c>
      <c r="G16" s="336">
        <f>IF(ISNUMBER(IF(D_I="SI",Datos!I16,Datos!I16+Datos!AC16)),IF(D_I="SI",Datos!I16,Datos!I16+Datos!AC16)," - ")</f>
        <v>468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333</v>
      </c>
      <c r="X16" s="229">
        <f>IF(ISNUMBER(Datos!Q16),Datos!Q16," - ")</f>
        <v>7</v>
      </c>
      <c r="Y16" s="337">
        <f t="shared" ref="Y16:Y17" si="7">SUM(W16:X16)</f>
        <v>340</v>
      </c>
      <c r="Z16" s="338" t="str">
        <f>IF(ISNUMBER(Datos!CC16),Datos!CC16," - ")</f>
        <v xml:space="preserve"> - </v>
      </c>
      <c r="AA16" s="335">
        <f>IF(ISNUMBER(IF(D_I="SI",Datos!L16,Datos!L16+Datos!AF16)),IF(D_I="SI",Datos!L16,Datos!L16+Datos!AF16)," - ")</f>
        <v>400</v>
      </c>
      <c r="AB16" s="337">
        <f>IF(ISNUMBER(Datos!R16),Datos!R16," - ")</f>
        <v>59</v>
      </c>
      <c r="AC16" s="337">
        <f t="shared" si="6"/>
        <v>459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61</v>
      </c>
      <c r="AJ16" s="234" t="str">
        <f>IF(ISNUMBER(Datos!BW16),Datos!BW16," - ")</f>
        <v xml:space="preserve"> - </v>
      </c>
      <c r="AK16" s="235" t="str">
        <f>IF(ISNUMBER(Datos!BX16),Datos!BX16," - ")</f>
        <v xml:space="preserve"> - </v>
      </c>
      <c r="AL16" s="246">
        <f>IF(ISNUMBER(NºAsuntos!G16/NºAsuntos!E16),NºAsuntos!G16/NºAsuntos!E16," - ")</f>
        <v>1.2566037735849056</v>
      </c>
      <c r="AM16" s="263">
        <f>IF(ISNUMBER(((NºAsuntos!I16/NºAsuntos!G16)*11)/factor_trimestre),((NºAsuntos!I16/NºAsuntos!G16)*11)/factor_trimestre," - ")</f>
        <v>3.6036036036036041</v>
      </c>
      <c r="AN16" s="247">
        <f>IF(ISNUMBER('Resol  Asuntos'!D16/NºAsuntos!G16),'Resol  Asuntos'!D16/NºAsuntos!G16," - ")</f>
        <v>0.18318318318318319</v>
      </c>
      <c r="AO16" s="248">
        <f>IF(ISNUMBER((NºAsuntos!C16+NºAsuntos!E16)/NºAsuntos!G16),(NºAsuntos!C16+NºAsuntos!E16)/NºAsuntos!G16," - ")</f>
        <v>2.2012012012012012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v>
      </c>
      <c r="X17" s="229">
        <f>IF(ISNUMBER(Datos!Q17),Datos!Q17," - ")</f>
        <v>0</v>
      </c>
      <c r="Y17" s="337">
        <f t="shared" si="7"/>
        <v>50</v>
      </c>
      <c r="Z17" s="338" t="str">
        <f>IF(ISNUMBER(Datos!CC17),Datos!CC17," - ")</f>
        <v xml:space="preserve"> - </v>
      </c>
      <c r="AA17" s="335">
        <f>IF(ISNUMBER(Datos!L17),Datos!L17,"-")</f>
        <v>9</v>
      </c>
      <c r="AB17" s="337">
        <f>IF(ISNUMBER(Datos!R17),Datos!R17," - ")</f>
        <v>4</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2.5</v>
      </c>
      <c r="AM17" s="263">
        <f>IF(ISNUMBER(((NºAsuntos!I17/NºAsuntos!G17)*11)/factor_trimestre),((NºAsuntos!I17/NºAsuntos!G17)*11)/factor_trimestre," - ")</f>
        <v>0.54</v>
      </c>
      <c r="AN17" s="247">
        <f>IF(ISNUMBER('Resol  Asuntos'!D17/NºAsuntos!G17),'Resol  Asuntos'!D17/NºAsuntos!G17," - ")</f>
        <v>0.02</v>
      </c>
      <c r="AO17" s="248">
        <f>IF(ISNUMBER((NºAsuntos!C17+NºAsuntos!E17)/NºAsuntos!G17),(NºAsuntos!C17+NºAsuntos!E17)/NºAsuntos!G17," - ")</f>
        <v>1.18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468</v>
      </c>
      <c r="G18" s="869">
        <f>SUBTOTAL(9,G15:G17)</f>
        <v>507</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383</v>
      </c>
      <c r="X18" s="870">
        <f t="shared" si="11"/>
        <v>7</v>
      </c>
      <c r="Y18" s="871">
        <f t="shared" si="11"/>
        <v>390</v>
      </c>
      <c r="Z18" s="871">
        <f t="shared" si="11"/>
        <v>0</v>
      </c>
      <c r="AA18" s="871">
        <f t="shared" si="11"/>
        <v>409</v>
      </c>
      <c r="AB18" s="871">
        <f t="shared" si="11"/>
        <v>63</v>
      </c>
      <c r="AC18" s="871">
        <f t="shared" si="11"/>
        <v>472</v>
      </c>
      <c r="AD18" s="871">
        <f t="shared" si="11"/>
        <v>0</v>
      </c>
      <c r="AE18" s="875">
        <f t="shared" si="11"/>
        <v>0</v>
      </c>
      <c r="AF18" s="868">
        <f t="shared" si="11"/>
        <v>0</v>
      </c>
      <c r="AG18" s="876">
        <f t="shared" si="11"/>
        <v>0</v>
      </c>
      <c r="AH18" s="873">
        <f t="shared" si="11"/>
        <v>0</v>
      </c>
      <c r="AI18" s="868">
        <f t="shared" si="11"/>
        <v>62</v>
      </c>
      <c r="AJ18" s="870">
        <f t="shared" si="11"/>
        <v>0</v>
      </c>
      <c r="AK18" s="873">
        <f t="shared" si="11"/>
        <v>0</v>
      </c>
      <c r="AL18" s="877">
        <f>IF(ISNUMBER(NºAsuntos!G18/NºAsuntos!E18),NºAsuntos!G18/NºAsuntos!E18," - ")</f>
        <v>1.343859649122807</v>
      </c>
      <c r="AM18" s="877">
        <f>IF(ISNUMBER(((NºAsuntos!I18/NºAsuntos!G18)*11)/factor_trimestre),((NºAsuntos!I18/NºAsuntos!G18)*11)/factor_trimestre," - ")</f>
        <v>3.2036553524804177</v>
      </c>
      <c r="AN18" s="878">
        <f>IF(ISNUMBER('Resol  Asuntos'!D18/NºAsuntos!G18),'Resol  Asuntos'!D18/NºAsuntos!G18," - ")</f>
        <v>0.16187989556135771</v>
      </c>
      <c r="AO18" s="879">
        <f>IF(ISNUMBER((NºAsuntos!C18+NºAsuntos!E18)/NºAsuntos!G18),(NºAsuntos!C18+NºAsuntos!E18)/NºAsuntos!G18," - ")</f>
        <v>2.0678851174934727</v>
      </c>
      <c r="AP18" s="880" t="str">
        <f t="shared" si="2"/>
        <v xml:space="preserve"> - </v>
      </c>
      <c r="AQ18" s="880">
        <f>IF(ISNUMBER((H18-W18+K18)/(F18)),(H18-W18+K18)/(F18)," - ")</f>
        <v>-0.81837606837606836</v>
      </c>
      <c r="AR18" s="881">
        <f>IF(ISNUMBER((Datos!P18-Datos!Q18)/(Datos!R18-Datos!P18+Datos!Q18)),(Datos!P18-Datos!Q18)/(Datos!R18-Datos!P18+Datos!Q18)," - ")</f>
        <v>0.18867924528301888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475</v>
      </c>
      <c r="G19" s="824">
        <f t="shared" si="13"/>
        <v>514</v>
      </c>
      <c r="H19" s="823">
        <f t="shared" si="13"/>
        <v>0</v>
      </c>
      <c r="I19" s="825">
        <f t="shared" si="13"/>
        <v>0</v>
      </c>
      <c r="J19" s="825">
        <f t="shared" si="13"/>
        <v>0</v>
      </c>
      <c r="K19" s="884">
        <f t="shared" si="13"/>
        <v>0</v>
      </c>
      <c r="L19" s="825">
        <f t="shared" si="13"/>
        <v>112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386</v>
      </c>
      <c r="X19" s="824">
        <f t="shared" si="14"/>
        <v>183</v>
      </c>
      <c r="Y19" s="831">
        <f t="shared" si="14"/>
        <v>569</v>
      </c>
      <c r="Z19" s="831">
        <f t="shared" si="14"/>
        <v>0</v>
      </c>
      <c r="AA19" s="831">
        <f t="shared" si="14"/>
        <v>414</v>
      </c>
      <c r="AB19" s="831">
        <f t="shared" si="14"/>
        <v>1668</v>
      </c>
      <c r="AC19" s="831">
        <f t="shared" si="14"/>
        <v>480</v>
      </c>
      <c r="AD19" s="831">
        <f t="shared" si="14"/>
        <v>0</v>
      </c>
      <c r="AE19" s="833">
        <f t="shared" si="14"/>
        <v>0</v>
      </c>
      <c r="AF19" s="834">
        <f t="shared" si="14"/>
        <v>0</v>
      </c>
      <c r="AG19" s="835">
        <f t="shared" si="14"/>
        <v>0</v>
      </c>
      <c r="AH19" s="833">
        <f t="shared" si="14"/>
        <v>0</v>
      </c>
      <c r="AI19" s="823">
        <f t="shared" si="14"/>
        <v>220</v>
      </c>
      <c r="AJ19" s="823">
        <f t="shared" si="14"/>
        <v>0</v>
      </c>
      <c r="AK19" s="833">
        <f t="shared" si="14"/>
        <v>0</v>
      </c>
      <c r="AL19" s="887">
        <f>IF(ISNUMBER(NºAsuntos!G19/NºAsuntos!E19),NºAsuntos!G19/NºAsuntos!E19," - ")</f>
        <v>1.1081409477521265</v>
      </c>
      <c r="AM19" s="888">
        <f>IF(ISNUMBER(((NºAsuntos!I19/NºAsuntos!G19)*11)/factor_trimestre),((NºAsuntos!I19/NºAsuntos!G19)*11)/factor_trimestre," - ")</f>
        <v>5.5493421052631584</v>
      </c>
      <c r="AN19" s="888">
        <f>IF(ISNUMBER('Resol  Asuntos'!D19/NºAsuntos!G19),'Resol  Asuntos'!D19/NºAsuntos!G19," - ")</f>
        <v>0.2412280701754386</v>
      </c>
      <c r="AO19" s="889">
        <f>IF(ISNUMBER((NºAsuntos!C19+NºAsuntos!E19)/NºAsuntos!G19),(NºAsuntos!C19+NºAsuntos!E19)/NºAsuntos!G19," - ")</f>
        <v>2.9736842105263159</v>
      </c>
      <c r="AP19" s="890" t="str">
        <f t="shared" si="2"/>
        <v xml:space="preserve"> - </v>
      </c>
      <c r="AQ19" s="891">
        <f>IF(OR(ISNUMBER(FIND("01",Criterios!A8,1)),ISNUMBER(FIND("02",Criterios!A8,1)),ISNUMBER(FIND("03",Criterios!A8,1)),ISNUMBER(FIND("04",Criterios!A8,1))),(I19-W19+K19)/(F19-K19),(H19-W19+K19)/(F19-K19))</f>
        <v>-0.81263157894736837</v>
      </c>
      <c r="AR19" s="892">
        <f>IF(ISNUMBER((Datos!P19-Datos!Q19)/(Datos!R19-Datos!P19+Datos!Q19)),(Datos!P19-Datos!Q19)/(Datos!R19-Datos!P19+Datos!Q19)," - ")</f>
        <v>-4.082806210465785E-2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266.15847409641748</v>
      </c>
      <c r="G21" s="256">
        <f>IF(ISNUMBER(STDEV(G8:G18)),STDEV(G8:G18),"-")</f>
        <v>258.03836923992526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187.68271097786285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71.031448434244012</v>
      </c>
      <c r="AJ21" s="255">
        <f t="shared" si="18"/>
        <v>0</v>
      </c>
      <c r="AK21" s="257">
        <f t="shared" si="18"/>
        <v>0</v>
      </c>
      <c r="AL21" s="252">
        <f t="shared" si="18"/>
        <v>0.85826764981948789</v>
      </c>
      <c r="AM21" s="253">
        <f t="shared" si="18"/>
        <v>2.5915932160659376</v>
      </c>
      <c r="AN21" s="253">
        <f t="shared" si="18"/>
        <v>0.13013532487076032</v>
      </c>
      <c r="AO21" s="254">
        <f t="shared" si="18"/>
        <v>0.95770719791437953</v>
      </c>
      <c r="AP21" s="294" t="str">
        <f t="shared" si="18"/>
        <v>-</v>
      </c>
      <c r="AQ21" s="295">
        <f t="shared" si="18"/>
        <v>0.27563350414384041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ZgL1XKLKSzr4MNg2Gnqzzf5eaIrBLhc5aFG3trawzUWR147Vk46SUgMh43GQeUq/2LZDazt0GJHoPfz8BgJxQ==" saltValue="iotZMJ9m1a7nfoct+3AH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REDONDELA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-0.125</v>
      </c>
      <c r="E10" s="351">
        <f>IF(ISNUMBER((Datos!J10-Datos!T10)/Datos!T10),(Datos!J10-Datos!T10)/Datos!T10," - ")</f>
        <v>-0.5</v>
      </c>
      <c r="F10" s="351">
        <f>IF(ISNUMBER((Datos!K10-Datos!U10)/Datos!U10),(Datos!K10-Datos!U10)/Datos!U10," - ")</f>
        <v>0.5</v>
      </c>
      <c r="G10" s="352">
        <f>IF(ISNUMBER((Datos!L10-Datos!V10)/Datos!V10),(Datos!L10-Datos!V10)/Datos!V10," - ")</f>
        <v>-0.375</v>
      </c>
      <c r="H10" s="233">
        <f>IF(ISNUMBER((Datos!M10-Datos!W10)/Datos!W10),(Datos!M10-Datos!W10)/Datos!W10," - ")</f>
        <v>-1</v>
      </c>
      <c r="I10" s="353">
        <f>IF(ISNUMBER((Tasas!C10-Datos!BE10)/Datos!BE10),(Tasas!C10-Datos!BE10)/Datos!BE10," - ")</f>
        <v>-0.58333333333333326</v>
      </c>
      <c r="J10" s="352">
        <f>IF(ISNUMBER((Tasas!D10-Datos!BF10)/Datos!BF10),(Tasas!D10-Datos!BF10)/Datos!BF10," - ")</f>
        <v>-1</v>
      </c>
      <c r="K10" s="354">
        <f>IF(ISNUMBER((Tasas!E10-Datos!BG10)/Datos!BG10),(Tasas!E10-Datos!BG10)/Datos!BG10," - ")</f>
        <v>-0.46666666666666667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0.43636363636363634</v>
      </c>
      <c r="I12" s="353">
        <f>IF(ISNUMBER((Tasas!C12-Datos!BE12)/Datos!BE12),(Tasas!C12-Datos!BE12)/Datos!BE12," - ")</f>
        <v>-0.25373432500499432</v>
      </c>
      <c r="J12" s="352">
        <f>IF(ISNUMBER((Tasas!D12-Datos!BF12)/Datos!BF12),(Tasas!D12-Datos!BF12)/Datos!BF12," - ")</f>
        <v>-0.3017134956298454</v>
      </c>
      <c r="K12" s="354">
        <f>IF(ISNUMBER((Tasas!E12-Datos!BG12)/Datos!BG12),(Tasas!E12-Datos!BG12)/Datos!BG12," - ")</f>
        <v>-0.1433027031492102</v>
      </c>
      <c r="M12" t="e">
        <f>IF(Monitorios="SI",Datos!CE12,0)</f>
        <v>#REF!</v>
      </c>
      <c r="N12" t="e">
        <f>IF(Monitorios="SI",Datos!CF12,0)</f>
        <v>#REF!</v>
      </c>
      <c r="O12" t="e">
        <f>IF(Monitorios="SI",Datos!CG12,0)</f>
        <v>#REF!</v>
      </c>
      <c r="P12" t="e">
        <f>IF(Monitorios="SI",Datos!CH12,0)</f>
        <v>#REF!</v>
      </c>
      <c r="Q12">
        <f>IF(J_V="SI",0,Datos!AG12)</f>
        <v>41</v>
      </c>
      <c r="R12">
        <f>IF(J_V="SI",0,Datos!AH12)</f>
        <v>33</v>
      </c>
      <c r="S12">
        <f>IF(J_V="SI",0,Datos!AI12)</f>
        <v>41</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0.42342342342342343</v>
      </c>
      <c r="I13" s="360">
        <f>IF(ISNUMBER((Tasas!C13-Datos!BE13)/Datos!BE13),(Tasas!C13-Datos!BE13)/Datos!BE13," - ")</f>
        <v>-0.25601672701046735</v>
      </c>
      <c r="J13" s="358">
        <f>IF(ISNUMBER((Tasas!D13-Datos!BF13)/Datos!BF13),(Tasas!D13-Datos!BF13)/Datos!BF13," - ")</f>
        <v>-0.30629916458320627</v>
      </c>
      <c r="K13" s="361">
        <f>IF(ISNUMBER((Tasas!E13-Datos!BG13)/Datos!BG13),(Tasas!E13-Datos!BG13)/Datos!BG13," - ")</f>
        <v>-0.1454439129569346</v>
      </c>
      <c r="M13" t="e">
        <f>IF(Monitorios="SI",Datos!CE13,0)</f>
        <v>#REF!</v>
      </c>
      <c r="N13" t="e">
        <f>IF(Monitorios="SI",Datos!CF13,0)</f>
        <v>#REF!</v>
      </c>
      <c r="O13" t="e">
        <f>IF(Monitorios="SI",Datos!CG13,0)</f>
        <v>#REF!</v>
      </c>
      <c r="P13" t="e">
        <f>IF(Monitorios="SI",Datos!CH13,0)</f>
        <v>#REF!</v>
      </c>
      <c r="Q13">
        <f>IF(J_V="SI",0,Datos!AG13)</f>
        <v>41</v>
      </c>
      <c r="R13">
        <f>IF(J_V="SI",0,Datos!AH13)</f>
        <v>33</v>
      </c>
      <c r="S13">
        <f>IF(J_V="SI",0,Datos!AI13)</f>
        <v>41</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0.25133689839572193</v>
      </c>
      <c r="E16" s="351">
        <f>IF(ISNUMBER(
   IF(D_I="SI",(Datos!J16-Datos!T16)/Datos!T16,(Datos!J16+Datos!AD16-(Datos!T16+Datos!AL16))/(Datos!T16+Datos!AL16))
     ),IF(D_I="SI",(Datos!J16-Datos!T16)/Datos!T16,(Datos!J16+Datos!AD16-(Datos!T16+Datos!AL16))/(Datos!T16+Datos!AL16))," - ")</f>
        <v>-0.14516129032258066</v>
      </c>
      <c r="F16" s="351">
        <f>IF(ISNUMBER(
   IF(D_I="SI",(Datos!K16-Datos!U16)/Datos!U16,(Datos!K16+Datos!AE16-(Datos!U16+Datos!AM16))/(Datos!U16+Datos!AM16))
     ),IF(D_I="SI",(Datos!K16-Datos!U16)/Datos!U16,(Datos!K16+Datos!AE16-(Datos!U16+Datos!AM16))/(Datos!U16+Datos!AM16))," - ")</f>
        <v>0.16027874564459929</v>
      </c>
      <c r="G16" s="352">
        <f>IF(ISNUMBER(
   IF(D_I="SI",(Datos!L16-Datos!V16)/Datos!V16,(Datos!L16+Datos!AF16-(Datos!V16+Datos!AN16))/(Datos!V16+Datos!AN16))
     ),IF(D_I="SI",(Datos!L16-Datos!V16)/Datos!V16,(Datos!L16+Datos!AF16-(Datos!V16+Datos!AN16))/(Datos!V16+Datos!AN16))," - ")</f>
        <v>7.556675062972292E-3</v>
      </c>
      <c r="H16" s="233">
        <f>IF(ISNUMBER((Datos!M16-Datos!W16)/Datos!W16),(Datos!M16-Datos!W16)/Datos!W16," - ")</f>
        <v>0.32608695652173914</v>
      </c>
      <c r="I16" s="353">
        <f>IF(ISNUMBER((Tasas!C16-Datos!BE16)/Datos!BE16),(Tasas!C16-Datos!BE16)/Datos!BE16," - ")</f>
        <v>-0.1316253280988797</v>
      </c>
      <c r="J16" s="352">
        <f>IF(ISNUMBER((Tasas!D16-Datos!BF16)/Datos!BF16),(Tasas!D16-Datos!BF16)/Datos!BF16," - ")</f>
        <v>0.14290377333855608</v>
      </c>
      <c r="K16" s="354">
        <f>IF(ISNUMBER((Tasas!E16-Datos!BG16)/Datos!BG16),(Tasas!E16-Datos!BG16)/Datos!BG16," - ")</f>
        <v>-7.6396572010607081E-2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-0.23076923076923078</v>
      </c>
      <c r="F17" s="351">
        <f>IF(ISNUMBER(
   IF(D_I="SI",(Datos!K17-Datos!U17)/Datos!U17,(Datos!K17+Datos!AE17-(Datos!U17+Datos!AM17))/(Datos!U17+Datos!AM17))
     ),IF(D_I="SI",(Datos!K17-Datos!U17)/Datos!U17,(Datos!K17+Datos!AE17-(Datos!U17+Datos!AM17))/(Datos!U17+Datos!AM17))," - ")</f>
        <v>0.61290322580645162</v>
      </c>
      <c r="G17" s="352">
        <f>IF(ISNUMBER(
   IF(D_I="SI",(Datos!L17-Datos!V17)/Datos!V17,(Datos!L17+Datos!AF17-(Datos!V17+Datos!AN17))/(Datos!V17+Datos!AN17))
     ),IF(D_I="SI",(Datos!L17-Datos!V17)/Datos!V17,(Datos!L17+Datos!AF17-(Datos!V17+Datos!AN17))/(Datos!V17+Datos!AN17))," - ")</f>
        <v>-0.80851063829787229</v>
      </c>
      <c r="H17" s="233">
        <f>IF(ISNUMBER((Datos!M17-Datos!W17)/Datos!W17),(Datos!M17-Datos!W17)/Datos!W17," - ")</f>
        <v>-0.91666666666666663</v>
      </c>
      <c r="I17" s="353">
        <f>IF(ISNUMBER((Tasas!C17-Datos!BE17)/Datos!BE17),(Tasas!C17-Datos!BE17)/Datos!BE17," - ")</f>
        <v>-0.88127659574468087</v>
      </c>
      <c r="J17" s="352">
        <f>IF(ISNUMBER((Tasas!D17-Datos!BF17)/Datos!BF17),(Tasas!D17-Datos!BF17)/Datos!BF17," - ")</f>
        <v>-0.94833333333333325</v>
      </c>
      <c r="K17" s="354">
        <f>IF(ISNUMBER((Tasas!E17-Datos!BG17)/Datos!BG17),(Tasas!E17-Datos!BG17)/Datos!BG17," - ")</f>
        <v>-0.53102564102564109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0.19014084507042253</v>
      </c>
      <c r="E18" s="357">
        <f>IF(ISNUMBER(
   IF(D_I="SI",(Datos!J18-Datos!T18)/Datos!T18,(Datos!J18+Datos!AD18-(Datos!T18+Datos!AL18))/(Datos!T18+Datos!AL18))
     ),IF(D_I="SI",(Datos!J18-Datos!T18)/Datos!T18,(Datos!J18+Datos!AD18-(Datos!T18+Datos!AL18))/(Datos!T18+Datos!AL18))," - ")</f>
        <v>-0.15178571428571427</v>
      </c>
      <c r="F18" s="357">
        <f>IF(ISNUMBER(
   IF(D_I="SI",(Datos!K18-Datos!U18)/Datos!U18,(Datos!K18+Datos!AE18-(Datos!U18+Datos!AM18))/(Datos!U18+Datos!AM18))
     ),IF(D_I="SI",(Datos!K18-Datos!U18)/Datos!U18,(Datos!K18+Datos!AE18-(Datos!U18+Datos!AM18))/(Datos!U18+Datos!AM18))," - ")</f>
        <v>0.20440251572327045</v>
      </c>
      <c r="G18" s="358">
        <f>IF(ISNUMBER(
   IF(D_I="SI",(Datos!L18-Datos!V18)/Datos!V18,(Datos!L18+Datos!AF18-(Datos!V18+Datos!AN18))/(Datos!V18+Datos!AN18))
     ),IF(D_I="SI",(Datos!L18-Datos!V18)/Datos!V18,(Datos!L18+Datos!AF18-(Datos!V18+Datos!AN18))/(Datos!V18+Datos!AN18))," - ")</f>
        <v>-7.8828828828828829E-2</v>
      </c>
      <c r="H18" s="359">
        <f>IF(ISNUMBER((Datos!M18-Datos!W18)/Datos!W18),(Datos!M18-Datos!W18)/Datos!W18," - ")</f>
        <v>6.8965517241379309E-2</v>
      </c>
      <c r="I18" s="360">
        <f>IF(ISNUMBER((Tasas!C18-Datos!BE18)/Datos!BE18),(Tasas!C18-Datos!BE18)/Datos!BE18," - ")</f>
        <v>-0.2351633617952156</v>
      </c>
      <c r="J18" s="358">
        <f>IF(ISNUMBER((Tasas!D18-Datos!BF18)/Datos!BF18),(Tasas!D18-Datos!BF18)/Datos!BF18," - ")</f>
        <v>-0.11245160709462493</v>
      </c>
      <c r="K18" s="361">
        <f>IF(ISNUMBER((Tasas!E18-Datos!BG18)/Datos!BG18),(Tasas!E18-Datos!BG18)/Datos!BG18," - ")</f>
        <v>-0.13702432104603113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0.28067796610169493</v>
      </c>
      <c r="E19" s="366">
        <f>IF(ISNUMBER(
   IF(J_V="SI",(Datos!J19-Datos!T19)/Datos!T19,(Datos!J19+Datos!Z19-(Datos!T19+Datos!AH19))/(Datos!T19+Datos!AH19))
     ),IF(J_V="SI",(Datos!J19-Datos!T19)/Datos!T19,(Datos!J19+Datos!Z19-(Datos!T19+Datos!AH19))/(Datos!T19+Datos!AH19))," - ")</f>
        <v>8.5784313725490204E-3</v>
      </c>
      <c r="F19" s="366">
        <f>IF(ISNUMBER(
   IF(J_V="SI",(Datos!K19-Datos!U19)/Datos!U19,(Datos!K19+Datos!AA19-(Datos!U19+Datos!AI19))/(Datos!U19+Datos!AI19))
     ),IF(J_V="SI",(Datos!K19-Datos!U19)/Datos!U19,(Datos!K19+Datos!AA19-(Datos!U19+Datos!AI19))/(Datos!U19+Datos!AI19))," - ")</f>
        <v>0.34513274336283184</v>
      </c>
      <c r="G19" s="367">
        <f>IF(ISNUMBER(
   IF(J_V="SI",(Datos!L19-Datos!V19)/Datos!V19,(Datos!L19+Datos!AB19-(Datos!V19+Datos!AJ19))/(Datos!V19+Datos!AJ19))
     ),IF(J_V="SI",(Datos!L19-Datos!V19)/Datos!V19,(Datos!L19+Datos!AB19-(Datos!V19+Datos!AJ19))/(Datos!V19+Datos!AJ19))," - ")</f>
        <v>4.5877247365158087E-2</v>
      </c>
      <c r="H19" s="368">
        <f>IF(ISNUMBER((Datos!M19-Datos!W19)/Datos!W19),(Datos!M19-Datos!W19)/Datos!W19," - ")</f>
        <v>0.30177514792899407</v>
      </c>
      <c r="I19" s="365">
        <f>IF(ISNUMBER((Tasas!C19-Datos!BE19)/Datos!BE19),(Tasas!C19-Datos!BE19)/Datos!BE19," - ")</f>
        <v>-0.22247283584037597</v>
      </c>
      <c r="J19" s="366">
        <f>IF(ISNUMBER((Tasas!D19-Datos!BF19)/Datos!BF19),(Tasas!D19-Datos!BF19)/Datos!BF19," - ")</f>
        <v>-0.2321472695824067</v>
      </c>
      <c r="K19" s="367">
        <f>IF(ISNUMBER((Tasas!E19-Datos!BG19)/Datos!BG19),(Tasas!E19-Datos!BG19)/Datos!BG19," - ")</f>
        <v>-0.11996599967837535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0.24244858895938348</v>
      </c>
      <c r="E21" s="281">
        <f t="shared" si="1"/>
        <v>0.16664830834677474</v>
      </c>
      <c r="F21" s="281">
        <f t="shared" si="1"/>
        <v>0.22158974837810191</v>
      </c>
      <c r="G21" s="282">
        <f t="shared" si="1"/>
        <v>0.36831398562392986</v>
      </c>
      <c r="H21" s="288">
        <f t="shared" si="1"/>
        <v>0.67053185107281343</v>
      </c>
      <c r="I21" s="280">
        <f t="shared" si="1"/>
        <v>0.28494980549110738</v>
      </c>
      <c r="J21" s="281">
        <f t="shared" si="1"/>
        <v>0.45910708351881996</v>
      </c>
      <c r="K21" s="282">
        <f t="shared" si="1"/>
        <v>0.1955186921094243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GW1P02WiiwA+O5eLJa0/7jrk/QMOhx2G34zaTRee8vzaT4Uy0ZCuBzuN0dTX/GUcRWPdCU5bALZv432heSVIA==" saltValue="iwbJRLZFCRpyGkfMx7KX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